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trlProps/ctrlProp1.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trlProps/ctrlProp2.xml" ContentType="application/vnd.ms-excel.controlproperties+xml"/>
  <Override PartName="/xl/ctrlProps/ctrlProp3.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erlinma\Google Drive\CARIMA working\80_Projektintern\013_Excel_Tool\"/>
    </mc:Choice>
  </mc:AlternateContent>
  <workbookProtection workbookAlgorithmName="SHA-512" workbookHashValue="suGijIh15AQwuVqjwsXPTaBjCHY6IHb/Abq4D59E+tcMuo6QjeZnVilq72R0nt7F6X3EJfDLusXcMfYN2QgUIA==" workbookSaltValue="9G78dpgJmWxpXcSz9DpFow==" workbookSpinCount="100000" lockStructure="1"/>
  <bookViews>
    <workbookView xWindow="-120" yWindow="-120" windowWidth="29040" windowHeight="15990"/>
  </bookViews>
  <sheets>
    <sheet name="Table of Contents" sheetId="1" r:id="rId1"/>
    <sheet name="Information" sheetId="2" r:id="rId2"/>
    <sheet name="Imprint" sheetId="3" r:id="rId3"/>
    <sheet name="Chapter 3 -&gt;" sheetId="17" r:id="rId4"/>
    <sheet name="_xltb_storage_" sheetId="35" state="veryHidden" r:id="rId5"/>
    <sheet name="Equity" sheetId="10" r:id="rId6"/>
    <sheet name="Bonds" sheetId="13" r:id="rId7"/>
    <sheet name="Portfolios" sheetId="14" r:id="rId8"/>
    <sheet name="Funds" sheetId="15" r:id="rId9"/>
    <sheet name="Chapter 4 -&gt;" sheetId="18" r:id="rId10"/>
    <sheet name="Countries" sheetId="19" r:id="rId11"/>
    <sheet name="Sectors" sheetId="22" r:id="rId12"/>
    <sheet name="Financial Sector" sheetId="28" r:id="rId13"/>
    <sheet name="Management and Hedging" sheetId="30" r:id="rId14"/>
    <sheet name="Factor Investing" sheetId="25" r:id="rId15"/>
    <sheet name="Best-in-class" sheetId="31" r:id="rId16"/>
    <sheet name="Chapter 5 -&gt;" sheetId="32" r:id="rId17"/>
    <sheet name="Carbon Risk Factor BMG" sheetId="7" r:id="rId18"/>
    <sheet name="Input Data -&gt;" sheetId="8" r:id="rId19"/>
    <sheet name="BMG" sheetId="4" r:id="rId20"/>
    <sheet name="Risk Factors" sheetId="5" r:id="rId21"/>
    <sheet name="Asset Returns" sheetId="6" r:id="rId22"/>
    <sheet name="AC" sheetId="11" state="hidden" r:id="rId23"/>
    <sheet name="AC2" sheetId="12" state="hidden" r:id="rId24"/>
    <sheet name="AC3" sheetId="27" state="hidden" r:id="rId25"/>
    <sheet name="AC4" sheetId="34" state="hidden" r:id="rId26"/>
    <sheet name="Blank" sheetId="21" state="hidden" r:id="rId27"/>
  </sheets>
  <externalReferences>
    <externalReference r:id="rId28"/>
  </externalReferences>
  <definedNames>
    <definedName name="_xlnm._FilterDatabase" localSheetId="22" hidden="1">AC!$CH$2:$CM$91</definedName>
    <definedName name="enddate">'[1]Carbon Risk Factor'!$C$9</definedName>
    <definedName name="enddate_stocks">'[1]Carbon Beta'!$C$9</definedName>
    <definedName name="factorregion">'[1]Carbon Risk Factor'!$C$6</definedName>
    <definedName name="factorregion_stocks">'[1]Carbon Beta'!$C$6</definedName>
    <definedName name="p1a1_weight">'[1]Carbon Risk Portfolio'!$AB$4</definedName>
    <definedName name="p1a2_weight">'[1]Carbon Risk Portfolio'!$AB$5</definedName>
    <definedName name="p2a1_weight">'[1]Carbon Risk Portfolio'!$AC$4</definedName>
    <definedName name="p2a2_weight">'[1]Carbon Risk Portfolio'!$AC$5</definedName>
    <definedName name="p2a3_weight">'[1]Carbon Risk Portfolio'!$AC$6</definedName>
    <definedName name="startdate">'[1]Carbon Risk Factor'!$C$8</definedName>
    <definedName name="startdate_portfolios">'[1]Carbon Risk Portfolio'!$C$8</definedName>
    <definedName name="startdate_stocks">'[1]Carbon Beta'!$C$8</definedName>
    <definedName name="stock1">'[1]Carbon Beta'!$C$11</definedName>
    <definedName name="stock2">'[1]Carbon Beta'!$C$12</definedName>
    <definedName name="stock3">'[1]Carbon Beta'!$C$13</definedName>
    <definedName name="timeseries">'[1]Carbon Risk Factor'!$C$7</definedName>
    <definedName name="timeseries_portfolios">'[1]Carbon Risk Portfolio'!$C$7</definedName>
    <definedName name="XAxis">OFFSET('[1]Carbon Risk Factor'!$U$13,0,0,'[1]Carbon Risk Factor'!$C$10)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F61" i="27" l="1"/>
  <c r="M61" i="27"/>
  <c r="L61" i="27"/>
  <c r="K61" i="27"/>
  <c r="J61" i="27"/>
  <c r="I61" i="27"/>
  <c r="H61" i="27"/>
  <c r="BF60" i="27"/>
  <c r="M60" i="27"/>
  <c r="L60" i="27"/>
  <c r="K60" i="27"/>
  <c r="J60" i="27"/>
  <c r="I60" i="27"/>
  <c r="H60" i="27"/>
  <c r="BF59" i="27"/>
  <c r="M59" i="27"/>
  <c r="L59" i="27"/>
  <c r="K59" i="27"/>
  <c r="J59" i="27"/>
  <c r="I59" i="27"/>
  <c r="H59" i="27"/>
  <c r="BF58" i="27"/>
  <c r="M58" i="27"/>
  <c r="L58" i="27"/>
  <c r="K58" i="27"/>
  <c r="J58" i="27"/>
  <c r="I58" i="27"/>
  <c r="H58" i="27"/>
  <c r="BF57" i="27"/>
  <c r="M57" i="27"/>
  <c r="L57" i="27"/>
  <c r="K57" i="27"/>
  <c r="J57" i="27"/>
  <c r="I57" i="27"/>
  <c r="H57" i="27"/>
  <c r="BF56" i="27"/>
  <c r="M56" i="27"/>
  <c r="L56" i="27"/>
  <c r="K56" i="27"/>
  <c r="J56" i="27"/>
  <c r="I56" i="27"/>
  <c r="H56" i="27"/>
  <c r="BF55" i="27"/>
  <c r="M55" i="27"/>
  <c r="L55" i="27"/>
  <c r="K55" i="27"/>
  <c r="J55" i="27"/>
  <c r="I55" i="27"/>
  <c r="H55" i="27"/>
  <c r="BF54" i="27"/>
  <c r="M54" i="27"/>
  <c r="L54" i="27"/>
  <c r="K54" i="27"/>
  <c r="J54" i="27"/>
  <c r="I54" i="27"/>
  <c r="H54" i="27"/>
  <c r="BF53" i="27"/>
  <c r="M53" i="27"/>
  <c r="L53" i="27"/>
  <c r="K53" i="27"/>
  <c r="J53" i="27"/>
  <c r="I53" i="27"/>
  <c r="H53" i="27"/>
  <c r="BF52" i="27"/>
  <c r="M52" i="27"/>
  <c r="L52" i="27"/>
  <c r="K52" i="27"/>
  <c r="J52" i="27"/>
  <c r="I52" i="27"/>
  <c r="H52" i="27"/>
  <c r="BF51" i="27"/>
  <c r="M51" i="27"/>
  <c r="L51" i="27"/>
  <c r="K51" i="27"/>
  <c r="J51" i="27"/>
  <c r="I51" i="27"/>
  <c r="H51" i="27"/>
  <c r="BF50" i="27"/>
  <c r="M50" i="27"/>
  <c r="L50" i="27"/>
  <c r="K50" i="27"/>
  <c r="J50" i="27"/>
  <c r="I50" i="27"/>
  <c r="H50" i="27"/>
  <c r="BF49" i="27"/>
  <c r="M49" i="27"/>
  <c r="L49" i="27"/>
  <c r="K49" i="27"/>
  <c r="J49" i="27"/>
  <c r="I49" i="27"/>
  <c r="H49" i="27"/>
  <c r="BF48" i="27"/>
  <c r="M48" i="27"/>
  <c r="L48" i="27"/>
  <c r="K48" i="27"/>
  <c r="J48" i="27"/>
  <c r="I48" i="27"/>
  <c r="H48" i="27"/>
  <c r="BF47" i="27"/>
  <c r="M47" i="27"/>
  <c r="L47" i="27"/>
  <c r="K47" i="27"/>
  <c r="J47" i="27"/>
  <c r="I47" i="27"/>
  <c r="H47" i="27"/>
  <c r="BF46" i="27"/>
  <c r="M46" i="27"/>
  <c r="L46" i="27"/>
  <c r="K46" i="27"/>
  <c r="J46" i="27"/>
  <c r="I46" i="27"/>
  <c r="H46" i="27"/>
  <c r="BF45" i="27"/>
  <c r="M45" i="27"/>
  <c r="L45" i="27"/>
  <c r="K45" i="27"/>
  <c r="J45" i="27"/>
  <c r="I45" i="27"/>
  <c r="H45" i="27"/>
  <c r="BF44" i="27"/>
  <c r="M44" i="27"/>
  <c r="L44" i="27"/>
  <c r="K44" i="27"/>
  <c r="J44" i="27"/>
  <c r="I44" i="27"/>
  <c r="H44" i="27"/>
  <c r="BF43" i="27"/>
  <c r="M43" i="27"/>
  <c r="L43" i="27"/>
  <c r="K43" i="27"/>
  <c r="J43" i="27"/>
  <c r="I43" i="27"/>
  <c r="H43" i="27"/>
  <c r="BF42" i="27"/>
  <c r="M42" i="27"/>
  <c r="L42" i="27"/>
  <c r="K42" i="27"/>
  <c r="J42" i="27"/>
  <c r="I42" i="27"/>
  <c r="H42" i="27"/>
  <c r="BF41" i="27"/>
  <c r="M41" i="27"/>
  <c r="L41" i="27"/>
  <c r="K41" i="27"/>
  <c r="J41" i="27"/>
  <c r="I41" i="27"/>
  <c r="H41" i="27"/>
  <c r="BF40" i="27"/>
  <c r="M40" i="27"/>
  <c r="L40" i="27"/>
  <c r="K40" i="27"/>
  <c r="J40" i="27"/>
  <c r="I40" i="27"/>
  <c r="H40" i="27"/>
  <c r="BF39" i="27"/>
  <c r="M39" i="27"/>
  <c r="L39" i="27"/>
  <c r="K39" i="27"/>
  <c r="J39" i="27"/>
  <c r="I39" i="27"/>
  <c r="H39" i="27"/>
  <c r="BF38" i="27"/>
  <c r="M38" i="27"/>
  <c r="L38" i="27"/>
  <c r="K38" i="27"/>
  <c r="J38" i="27"/>
  <c r="I38" i="27"/>
  <c r="H38" i="27"/>
  <c r="BF37" i="27"/>
  <c r="M37" i="27"/>
  <c r="L37" i="27"/>
  <c r="K37" i="27"/>
  <c r="J37" i="27"/>
  <c r="I37" i="27"/>
  <c r="H37" i="27"/>
  <c r="BF36" i="27"/>
  <c r="M36" i="27"/>
  <c r="L36" i="27"/>
  <c r="K36" i="27"/>
  <c r="J36" i="27"/>
  <c r="I36" i="27"/>
  <c r="H36" i="27"/>
  <c r="BF35" i="27"/>
  <c r="M35" i="27"/>
  <c r="L35" i="27"/>
  <c r="K35" i="27"/>
  <c r="J35" i="27"/>
  <c r="I35" i="27"/>
  <c r="H35" i="27"/>
  <c r="BF34" i="27"/>
  <c r="M34" i="27"/>
  <c r="L34" i="27"/>
  <c r="K34" i="27"/>
  <c r="J34" i="27"/>
  <c r="I34" i="27"/>
  <c r="H34" i="27"/>
  <c r="BF33" i="27"/>
  <c r="M33" i="27"/>
  <c r="L33" i="27"/>
  <c r="K33" i="27"/>
  <c r="J33" i="27"/>
  <c r="I33" i="27"/>
  <c r="H33" i="27"/>
  <c r="BF32" i="27"/>
  <c r="M32" i="27"/>
  <c r="L32" i="27"/>
  <c r="K32" i="27"/>
  <c r="J32" i="27"/>
  <c r="I32" i="27"/>
  <c r="H32" i="27"/>
  <c r="BF31" i="27"/>
  <c r="M31" i="27"/>
  <c r="L31" i="27"/>
  <c r="K31" i="27"/>
  <c r="J31" i="27"/>
  <c r="I31" i="27"/>
  <c r="H31" i="27"/>
  <c r="BF30" i="27"/>
  <c r="M30" i="27"/>
  <c r="L30" i="27"/>
  <c r="K30" i="27"/>
  <c r="J30" i="27"/>
  <c r="I30" i="27"/>
  <c r="H30" i="27"/>
  <c r="BF29" i="27"/>
  <c r="M29" i="27"/>
  <c r="L29" i="27"/>
  <c r="K29" i="27"/>
  <c r="J29" i="27"/>
  <c r="I29" i="27"/>
  <c r="H29" i="27"/>
  <c r="BF28" i="27"/>
  <c r="M28" i="27"/>
  <c r="L28" i="27"/>
  <c r="K28" i="27"/>
  <c r="J28" i="27"/>
  <c r="I28" i="27"/>
  <c r="H28" i="27"/>
  <c r="BF27" i="27"/>
  <c r="M27" i="27"/>
  <c r="L27" i="27"/>
  <c r="K27" i="27"/>
  <c r="J27" i="27"/>
  <c r="I27" i="27"/>
  <c r="H27" i="27"/>
  <c r="BF26" i="27"/>
  <c r="M26" i="27"/>
  <c r="L26" i="27"/>
  <c r="K26" i="27"/>
  <c r="J26" i="27"/>
  <c r="I26" i="27"/>
  <c r="H26" i="27"/>
  <c r="BF25" i="27"/>
  <c r="M25" i="27"/>
  <c r="L25" i="27"/>
  <c r="K25" i="27"/>
  <c r="J25" i="27"/>
  <c r="I25" i="27"/>
  <c r="H25" i="27"/>
  <c r="BF24" i="27"/>
  <c r="M24" i="27"/>
  <c r="L24" i="27"/>
  <c r="K24" i="27"/>
  <c r="J24" i="27"/>
  <c r="I24" i="27"/>
  <c r="H24" i="27"/>
  <c r="BF23" i="27"/>
  <c r="M23" i="27"/>
  <c r="L23" i="27"/>
  <c r="K23" i="27"/>
  <c r="J23" i="27"/>
  <c r="I23" i="27"/>
  <c r="H23" i="27"/>
  <c r="BF22" i="27"/>
  <c r="M22" i="27"/>
  <c r="L22" i="27"/>
  <c r="K22" i="27"/>
  <c r="J22" i="27"/>
  <c r="I22" i="27"/>
  <c r="H22" i="27"/>
  <c r="BF21" i="27"/>
  <c r="M21" i="27"/>
  <c r="L21" i="27"/>
  <c r="K21" i="27"/>
  <c r="J21" i="27"/>
  <c r="I21" i="27"/>
  <c r="H21" i="27"/>
  <c r="BF20" i="27"/>
  <c r="M20" i="27"/>
  <c r="L20" i="27"/>
  <c r="K20" i="27"/>
  <c r="J20" i="27"/>
  <c r="I20" i="27"/>
  <c r="H20" i="27"/>
  <c r="BF19" i="27"/>
  <c r="M19" i="27"/>
  <c r="L19" i="27"/>
  <c r="K19" i="27"/>
  <c r="J19" i="27"/>
  <c r="I19" i="27"/>
  <c r="H19" i="27"/>
  <c r="BF18" i="27"/>
  <c r="M18" i="27"/>
  <c r="L18" i="27"/>
  <c r="K18" i="27"/>
  <c r="J18" i="27"/>
  <c r="I18" i="27"/>
  <c r="H18" i="27"/>
  <c r="BF17" i="27"/>
  <c r="M17" i="27"/>
  <c r="L17" i="27"/>
  <c r="K17" i="27"/>
  <c r="J17" i="27"/>
  <c r="I17" i="27"/>
  <c r="H17" i="27"/>
  <c r="BF16" i="27"/>
  <c r="M16" i="27"/>
  <c r="L16" i="27"/>
  <c r="K16" i="27"/>
  <c r="J16" i="27"/>
  <c r="I16" i="27"/>
  <c r="H16" i="27"/>
  <c r="BF15" i="27"/>
  <c r="M15" i="27"/>
  <c r="L15" i="27"/>
  <c r="K15" i="27"/>
  <c r="J15" i="27"/>
  <c r="I15" i="27"/>
  <c r="H15" i="27"/>
  <c r="BF14" i="27"/>
  <c r="M14" i="27"/>
  <c r="L14" i="27"/>
  <c r="K14" i="27"/>
  <c r="J14" i="27"/>
  <c r="I14" i="27"/>
  <c r="H14" i="27"/>
  <c r="BF13" i="27"/>
  <c r="M13" i="27"/>
  <c r="L13" i="27"/>
  <c r="K13" i="27"/>
  <c r="J13" i="27"/>
  <c r="I13" i="27"/>
  <c r="H13" i="27"/>
  <c r="BF12" i="27"/>
  <c r="M12" i="27"/>
  <c r="L12" i="27"/>
  <c r="K12" i="27"/>
  <c r="J12" i="27"/>
  <c r="I12" i="27"/>
  <c r="H12" i="27"/>
  <c r="BF11" i="27"/>
  <c r="M11" i="27"/>
  <c r="L11" i="27"/>
  <c r="K11" i="27"/>
  <c r="J11" i="27"/>
  <c r="I11" i="27"/>
  <c r="H11" i="27"/>
  <c r="BF10" i="27"/>
  <c r="M10" i="27"/>
  <c r="L10" i="27"/>
  <c r="K10" i="27"/>
  <c r="J10" i="27"/>
  <c r="I10" i="27"/>
  <c r="H10" i="27"/>
  <c r="BF9" i="27"/>
  <c r="M9" i="27"/>
  <c r="L9" i="27"/>
  <c r="K9" i="27"/>
  <c r="J9" i="27"/>
  <c r="I9" i="27"/>
  <c r="H9" i="27"/>
  <c r="BF8" i="27"/>
  <c r="M8" i="27"/>
  <c r="L8" i="27"/>
  <c r="K8" i="27"/>
  <c r="J8" i="27"/>
  <c r="I8" i="27"/>
  <c r="H8" i="27"/>
  <c r="BF7" i="27"/>
  <c r="M7" i="27"/>
  <c r="L7" i="27"/>
  <c r="K7" i="27"/>
  <c r="J7" i="27"/>
  <c r="I7" i="27"/>
  <c r="H7" i="27"/>
  <c r="BF6" i="27"/>
  <c r="M6" i="27"/>
  <c r="L6" i="27"/>
  <c r="K6" i="27"/>
  <c r="J6" i="27"/>
  <c r="I6" i="27"/>
  <c r="H6" i="27"/>
  <c r="BF5" i="27"/>
  <c r="M5" i="27"/>
  <c r="L5" i="27"/>
  <c r="K5" i="27"/>
  <c r="J5" i="27"/>
  <c r="I5" i="27"/>
  <c r="H5" i="27"/>
  <c r="BF4" i="27"/>
  <c r="M4" i="27"/>
  <c r="L4" i="27"/>
  <c r="K4" i="27"/>
  <c r="J4" i="27"/>
  <c r="I4" i="27"/>
  <c r="H4" i="27"/>
  <c r="BF3" i="27"/>
  <c r="M3" i="27"/>
  <c r="L3" i="27"/>
  <c r="K3" i="27"/>
  <c r="J3" i="27"/>
  <c r="I3" i="27"/>
  <c r="H3" i="27"/>
  <c r="BF2" i="27"/>
  <c r="M2" i="27"/>
  <c r="L2" i="27"/>
  <c r="K2" i="27"/>
  <c r="J2" i="27"/>
  <c r="I2" i="27"/>
  <c r="H2" i="27"/>
  <c r="M109" i="11"/>
  <c r="L109" i="11"/>
  <c r="K109" i="11"/>
  <c r="J109" i="11"/>
  <c r="I109" i="11"/>
  <c r="H109" i="11"/>
  <c r="M108" i="11"/>
  <c r="L108" i="11"/>
  <c r="K108" i="11"/>
  <c r="J108" i="11"/>
  <c r="I108" i="11"/>
  <c r="H108" i="11"/>
  <c r="M107" i="11"/>
  <c r="L107" i="11"/>
  <c r="K107" i="11"/>
  <c r="J107" i="11"/>
  <c r="I107" i="11"/>
  <c r="H107" i="11"/>
  <c r="M106" i="11"/>
  <c r="L106" i="11"/>
  <c r="K106" i="11"/>
  <c r="J106" i="11"/>
  <c r="I106" i="11"/>
  <c r="H106" i="11"/>
  <c r="M105" i="11"/>
  <c r="L105" i="11"/>
  <c r="K105" i="11"/>
  <c r="J105" i="11"/>
  <c r="I105" i="11"/>
  <c r="H105" i="11"/>
  <c r="M104" i="11"/>
  <c r="L104" i="11"/>
  <c r="K104" i="11"/>
  <c r="J104" i="11"/>
  <c r="I104" i="11"/>
  <c r="H104" i="11"/>
  <c r="M103" i="11"/>
  <c r="L103" i="11"/>
  <c r="K103" i="11"/>
  <c r="J103" i="11"/>
  <c r="I103" i="11"/>
  <c r="H103" i="11"/>
  <c r="M102" i="11"/>
  <c r="L102" i="11"/>
  <c r="K102" i="11"/>
  <c r="J102" i="11"/>
  <c r="I102" i="11"/>
  <c r="H102" i="11"/>
  <c r="M101" i="11"/>
  <c r="L101" i="11"/>
  <c r="K101" i="11"/>
  <c r="J101" i="11"/>
  <c r="I101" i="11"/>
  <c r="H101" i="11"/>
  <c r="M100" i="11"/>
  <c r="L100" i="11"/>
  <c r="K100" i="11"/>
  <c r="J100" i="11"/>
  <c r="I100" i="11"/>
  <c r="H100" i="11"/>
  <c r="M99" i="11"/>
  <c r="L99" i="11"/>
  <c r="K99" i="11"/>
  <c r="J99" i="11"/>
  <c r="I99" i="11"/>
  <c r="H99" i="11"/>
  <c r="M98" i="11"/>
  <c r="L98" i="11"/>
  <c r="K98" i="11"/>
  <c r="J98" i="11"/>
  <c r="I98" i="11"/>
  <c r="H98" i="11"/>
  <c r="M97" i="11"/>
  <c r="L97" i="11"/>
  <c r="K97" i="11"/>
  <c r="J97" i="11"/>
  <c r="I97" i="11"/>
  <c r="H97" i="11"/>
  <c r="M96" i="11"/>
  <c r="L96" i="11"/>
  <c r="K96" i="11"/>
  <c r="J96" i="11"/>
  <c r="I96" i="11"/>
  <c r="H96" i="11"/>
  <c r="M95" i="11"/>
  <c r="L95" i="11"/>
  <c r="K95" i="11"/>
  <c r="J95" i="11"/>
  <c r="I95" i="11"/>
  <c r="H95" i="11"/>
  <c r="M94" i="11"/>
  <c r="L94" i="11"/>
  <c r="K94" i="11"/>
  <c r="J94" i="11"/>
  <c r="I94" i="11"/>
  <c r="H94" i="11"/>
  <c r="M93" i="11"/>
  <c r="L93" i="11"/>
  <c r="K93" i="11"/>
  <c r="J93" i="11"/>
  <c r="I93" i="11"/>
  <c r="H93" i="11"/>
  <c r="M92" i="11"/>
  <c r="L92" i="11"/>
  <c r="K92" i="11"/>
  <c r="J92" i="11"/>
  <c r="I92" i="11"/>
  <c r="H92" i="11"/>
  <c r="M91" i="11"/>
  <c r="L91" i="11"/>
  <c r="K91" i="11"/>
  <c r="J91" i="11"/>
  <c r="I91" i="11"/>
  <c r="H91" i="11"/>
  <c r="M90" i="11"/>
  <c r="L90" i="11"/>
  <c r="K90" i="11"/>
  <c r="J90" i="11"/>
  <c r="I90" i="11"/>
  <c r="H90" i="11"/>
  <c r="M89" i="11"/>
  <c r="L89" i="11"/>
  <c r="K89" i="11"/>
  <c r="J89" i="11"/>
  <c r="I89" i="11"/>
  <c r="H89" i="11"/>
  <c r="M88" i="11"/>
  <c r="L88" i="11"/>
  <c r="K88" i="11"/>
  <c r="J88" i="11"/>
  <c r="I88" i="11"/>
  <c r="H88" i="11"/>
  <c r="M87" i="11"/>
  <c r="L87" i="11"/>
  <c r="K87" i="11"/>
  <c r="J87" i="11"/>
  <c r="I87" i="11"/>
  <c r="H87" i="11"/>
  <c r="M86" i="11"/>
  <c r="L86" i="11"/>
  <c r="K86" i="11"/>
  <c r="J86" i="11"/>
  <c r="I86" i="11"/>
  <c r="H86" i="11"/>
  <c r="M85" i="11"/>
  <c r="L85" i="11"/>
  <c r="K85" i="11"/>
  <c r="J85" i="11"/>
  <c r="I85" i="11"/>
  <c r="H85" i="11"/>
  <c r="M84" i="11"/>
  <c r="L84" i="11"/>
  <c r="K84" i="11"/>
  <c r="J84" i="11"/>
  <c r="I84" i="11"/>
  <c r="H84" i="11"/>
  <c r="M83" i="11"/>
  <c r="L83" i="11"/>
  <c r="K83" i="11"/>
  <c r="J83" i="11"/>
  <c r="I83" i="11"/>
  <c r="H83" i="11"/>
  <c r="M82" i="11"/>
  <c r="L82" i="11"/>
  <c r="K82" i="11"/>
  <c r="J82" i="11"/>
  <c r="I82" i="11"/>
  <c r="H82" i="11"/>
  <c r="M81" i="11"/>
  <c r="L81" i="11"/>
  <c r="K81" i="11"/>
  <c r="J81" i="11"/>
  <c r="I81" i="11"/>
  <c r="H81" i="11"/>
  <c r="M80" i="11"/>
  <c r="L80" i="11"/>
  <c r="K80" i="11"/>
  <c r="J80" i="11"/>
  <c r="I80" i="11"/>
  <c r="H80" i="11"/>
  <c r="M79" i="11"/>
  <c r="L79" i="11"/>
  <c r="K79" i="11"/>
  <c r="J79" i="11"/>
  <c r="I79" i="11"/>
  <c r="H79" i="11"/>
  <c r="M78" i="11"/>
  <c r="L78" i="11"/>
  <c r="K78" i="11"/>
  <c r="J78" i="11"/>
  <c r="I78" i="11"/>
  <c r="H78" i="11"/>
  <c r="M77" i="11"/>
  <c r="L77" i="11"/>
  <c r="K77" i="11"/>
  <c r="J77" i="11"/>
  <c r="I77" i="11"/>
  <c r="H77" i="11"/>
  <c r="M76" i="11"/>
  <c r="L76" i="11"/>
  <c r="K76" i="11"/>
  <c r="J76" i="11"/>
  <c r="I76" i="11"/>
  <c r="H76" i="11"/>
  <c r="M75" i="11"/>
  <c r="L75" i="11"/>
  <c r="K75" i="11"/>
  <c r="J75" i="11"/>
  <c r="I75" i="11"/>
  <c r="H75" i="11"/>
  <c r="M74" i="11"/>
  <c r="L74" i="11"/>
  <c r="K74" i="11"/>
  <c r="J74" i="11"/>
  <c r="I74" i="11"/>
  <c r="H74" i="11"/>
  <c r="M73" i="11"/>
  <c r="L73" i="11"/>
  <c r="K73" i="11"/>
  <c r="J73" i="11"/>
  <c r="I73" i="11"/>
  <c r="H73" i="11"/>
  <c r="M72" i="11"/>
  <c r="L72" i="11"/>
  <c r="K72" i="11"/>
  <c r="J72" i="11"/>
  <c r="I72" i="11"/>
  <c r="H72" i="11"/>
  <c r="M71" i="11"/>
  <c r="L71" i="11"/>
  <c r="K71" i="11"/>
  <c r="J71" i="11"/>
  <c r="I71" i="11"/>
  <c r="H71" i="11"/>
  <c r="M70" i="11"/>
  <c r="L70" i="11"/>
  <c r="K70" i="11"/>
  <c r="J70" i="11"/>
  <c r="I70" i="11"/>
  <c r="H70" i="11"/>
  <c r="M69" i="11"/>
  <c r="L69" i="11"/>
  <c r="K69" i="11"/>
  <c r="J69" i="11"/>
  <c r="I69" i="11"/>
  <c r="H69" i="11"/>
  <c r="M68" i="11"/>
  <c r="L68" i="11"/>
  <c r="K68" i="11"/>
  <c r="J68" i="11"/>
  <c r="I68" i="11"/>
  <c r="H68" i="11"/>
  <c r="M67" i="11"/>
  <c r="L67" i="11"/>
  <c r="K67" i="11"/>
  <c r="J67" i="11"/>
  <c r="I67" i="11"/>
  <c r="H67" i="11"/>
  <c r="M66" i="11"/>
  <c r="L66" i="11"/>
  <c r="K66" i="11"/>
  <c r="J66" i="11"/>
  <c r="I66" i="11"/>
  <c r="H66" i="11"/>
  <c r="M65" i="11"/>
  <c r="L65" i="11"/>
  <c r="K65" i="11"/>
  <c r="J65" i="11"/>
  <c r="I65" i="11"/>
  <c r="H65" i="11"/>
  <c r="M64" i="11"/>
  <c r="L64" i="11"/>
  <c r="K64" i="11"/>
  <c r="J64" i="11"/>
  <c r="I64" i="11"/>
  <c r="H64" i="11"/>
  <c r="M63" i="11"/>
  <c r="L63" i="11"/>
  <c r="K63" i="11"/>
  <c r="J63" i="11"/>
  <c r="I63" i="11"/>
  <c r="H63" i="11"/>
  <c r="M62" i="11"/>
  <c r="L62" i="11"/>
  <c r="K62" i="11"/>
  <c r="J62" i="11"/>
  <c r="I62" i="11"/>
  <c r="H62" i="11"/>
  <c r="M61" i="11"/>
  <c r="L61" i="11"/>
  <c r="K61" i="11"/>
  <c r="J61" i="11"/>
  <c r="I61" i="11"/>
  <c r="H61" i="11"/>
  <c r="M60" i="11"/>
  <c r="L60" i="11"/>
  <c r="K60" i="11"/>
  <c r="J60" i="11"/>
  <c r="I60" i="11"/>
  <c r="H60" i="11"/>
  <c r="M59" i="11"/>
  <c r="L59" i="11"/>
  <c r="K59" i="11"/>
  <c r="J59" i="11"/>
  <c r="I59" i="11"/>
  <c r="H59" i="11"/>
  <c r="M58" i="11"/>
  <c r="L58" i="11"/>
  <c r="K58" i="11"/>
  <c r="J58" i="11"/>
  <c r="I58" i="11"/>
  <c r="H58" i="11"/>
  <c r="M57" i="11"/>
  <c r="L57" i="11"/>
  <c r="K57" i="11"/>
  <c r="J57" i="11"/>
  <c r="I57" i="11"/>
  <c r="H57" i="11"/>
  <c r="M56" i="11"/>
  <c r="L56" i="11"/>
  <c r="K56" i="11"/>
  <c r="J56" i="11"/>
  <c r="I56" i="11"/>
  <c r="H56" i="11"/>
  <c r="M55" i="11"/>
  <c r="L55" i="11"/>
  <c r="K55" i="11"/>
  <c r="J55" i="11"/>
  <c r="I55" i="11"/>
  <c r="H55" i="11"/>
  <c r="M54" i="11"/>
  <c r="L54" i="11"/>
  <c r="K54" i="11"/>
  <c r="J54" i="11"/>
  <c r="I54" i="11"/>
  <c r="H54" i="11"/>
  <c r="M53" i="11"/>
  <c r="L53" i="11"/>
  <c r="K53" i="11"/>
  <c r="J53" i="11"/>
  <c r="I53" i="11"/>
  <c r="H53" i="11"/>
  <c r="M52" i="11"/>
  <c r="L52" i="11"/>
  <c r="K52" i="11"/>
  <c r="J52" i="11"/>
  <c r="I52" i="11"/>
  <c r="H52" i="11"/>
  <c r="M51" i="11"/>
  <c r="L51" i="11"/>
  <c r="K51" i="11"/>
  <c r="J51" i="11"/>
  <c r="I51" i="11"/>
  <c r="H51" i="11"/>
  <c r="M50" i="11"/>
  <c r="L50" i="11"/>
  <c r="K50" i="11"/>
  <c r="J50" i="11"/>
  <c r="I50" i="11"/>
  <c r="H50" i="11"/>
  <c r="M49" i="11"/>
  <c r="L49" i="11"/>
  <c r="K49" i="11"/>
  <c r="J49" i="11"/>
  <c r="I49" i="11"/>
  <c r="H49" i="11"/>
  <c r="M48" i="11"/>
  <c r="L48" i="11"/>
  <c r="K48" i="11"/>
  <c r="J48" i="11"/>
  <c r="I48" i="11"/>
  <c r="H48" i="11"/>
  <c r="M47" i="11"/>
  <c r="L47" i="11"/>
  <c r="K47" i="11"/>
  <c r="J47" i="11"/>
  <c r="I47" i="11"/>
  <c r="H47" i="11"/>
  <c r="M46" i="11"/>
  <c r="L46" i="11"/>
  <c r="K46" i="11"/>
  <c r="J46" i="11"/>
  <c r="I46" i="11"/>
  <c r="H46" i="11"/>
  <c r="M45" i="11"/>
  <c r="L45" i="11"/>
  <c r="K45" i="11"/>
  <c r="J45" i="11"/>
  <c r="I45" i="11"/>
  <c r="H45" i="11"/>
  <c r="M44" i="11"/>
  <c r="L44" i="11"/>
  <c r="K44" i="11"/>
  <c r="J44" i="11"/>
  <c r="I44" i="11"/>
  <c r="H44" i="11"/>
  <c r="M43" i="11"/>
  <c r="L43" i="11"/>
  <c r="K43" i="11"/>
  <c r="J43" i="11"/>
  <c r="I43" i="11"/>
  <c r="H43" i="11"/>
  <c r="M42" i="11"/>
  <c r="L42" i="11"/>
  <c r="K42" i="11"/>
  <c r="J42" i="11"/>
  <c r="I42" i="11"/>
  <c r="H42" i="11"/>
  <c r="M41" i="11"/>
  <c r="L41" i="11"/>
  <c r="K41" i="11"/>
  <c r="J41" i="11"/>
  <c r="I41" i="11"/>
  <c r="H41" i="11"/>
  <c r="M40" i="11"/>
  <c r="L40" i="11"/>
  <c r="K40" i="11"/>
  <c r="J40" i="11"/>
  <c r="I40" i="11"/>
  <c r="H40" i="11"/>
  <c r="M39" i="11"/>
  <c r="L39" i="11"/>
  <c r="K39" i="11"/>
  <c r="J39" i="11"/>
  <c r="I39" i="11"/>
  <c r="H39" i="11"/>
  <c r="M38" i="11"/>
  <c r="L38" i="11"/>
  <c r="K38" i="11"/>
  <c r="J38" i="11"/>
  <c r="I38" i="11"/>
  <c r="H38" i="11"/>
  <c r="O47" i="31" l="1"/>
  <c r="K47" i="31"/>
  <c r="G14" i="14" l="1"/>
  <c r="CF7" i="11" l="1"/>
  <c r="CE7" i="11"/>
  <c r="CD7" i="11"/>
  <c r="CC7" i="11"/>
  <c r="CB7" i="11"/>
  <c r="CA7" i="11"/>
  <c r="BZ7" i="11"/>
  <c r="BY7" i="11"/>
  <c r="BX7" i="11"/>
  <c r="BW7" i="11"/>
  <c r="BV7" i="11"/>
  <c r="CF6" i="11"/>
  <c r="CE6" i="11"/>
  <c r="CD6" i="11"/>
  <c r="CC6" i="11"/>
  <c r="CB6" i="11"/>
  <c r="CA6" i="11"/>
  <c r="BZ6" i="11"/>
  <c r="BY6" i="11"/>
  <c r="BX6" i="11"/>
  <c r="BW6" i="11"/>
  <c r="BV6" i="11"/>
  <c r="CF5" i="11"/>
  <c r="CE5" i="11"/>
  <c r="CD5" i="11"/>
  <c r="CC5" i="11"/>
  <c r="CB5" i="11"/>
  <c r="CA5" i="11"/>
  <c r="BZ5" i="11"/>
  <c r="BY5" i="11"/>
  <c r="BX5" i="11"/>
  <c r="BW5" i="11"/>
  <c r="BV5" i="11"/>
  <c r="CF4" i="11"/>
  <c r="CE4" i="11"/>
  <c r="CD4" i="11"/>
  <c r="CC4" i="11"/>
  <c r="CB4" i="11"/>
  <c r="CA4" i="11"/>
  <c r="BZ4" i="11"/>
  <c r="BY4" i="11"/>
  <c r="BX4" i="11"/>
  <c r="BW4" i="11"/>
  <c r="BV4" i="11"/>
  <c r="CF3" i="11"/>
  <c r="CE3" i="11"/>
  <c r="CD3" i="11"/>
  <c r="CC3" i="11"/>
  <c r="CB3" i="11"/>
  <c r="CA3" i="11"/>
  <c r="BZ3" i="11"/>
  <c r="BY3" i="11"/>
  <c r="BX3" i="11"/>
  <c r="BW3" i="11"/>
  <c r="BV3" i="11"/>
  <c r="CF2" i="11"/>
  <c r="CF9" i="11" s="1"/>
  <c r="CE2" i="11"/>
  <c r="CE9" i="11" s="1"/>
  <c r="CD2" i="11"/>
  <c r="CD9" i="11" s="1"/>
  <c r="CC2" i="11"/>
  <c r="CB2" i="11"/>
  <c r="CB9" i="11" s="1"/>
  <c r="CA2" i="11"/>
  <c r="BZ2" i="11"/>
  <c r="BZ9" i="11" s="1"/>
  <c r="BY2" i="11"/>
  <c r="BY9" i="11" s="1"/>
  <c r="BX2" i="11"/>
  <c r="BX9" i="11" s="1"/>
  <c r="BW2" i="11"/>
  <c r="BW9" i="11" s="1"/>
  <c r="BV2" i="11"/>
  <c r="BV9" i="11" s="1"/>
  <c r="CC9" i="11"/>
  <c r="CA9" i="11"/>
  <c r="M1" i="11" l="1"/>
  <c r="L1" i="11"/>
  <c r="N11" i="7"/>
  <c r="CN1" i="27" l="1"/>
  <c r="CK1" i="27"/>
  <c r="CL1" i="27"/>
  <c r="AP1" i="27"/>
  <c r="AO1" i="27"/>
  <c r="AN1" i="27"/>
  <c r="AM1" i="27"/>
  <c r="AL1" i="27"/>
  <c r="AV1" i="27"/>
  <c r="AU1" i="27"/>
  <c r="AT1" i="27"/>
  <c r="AS1" i="27"/>
  <c r="AR1" i="27"/>
  <c r="BA1" i="27"/>
  <c r="BB1" i="27"/>
  <c r="BH1" i="27"/>
  <c r="BH2" i="27" s="1"/>
  <c r="BI1" i="27"/>
  <c r="BJ1" i="27"/>
  <c r="BK1" i="27"/>
  <c r="BH84" i="27" l="1"/>
  <c r="BH106" i="27"/>
  <c r="BH14" i="27"/>
  <c r="BH101" i="27"/>
  <c r="BH83" i="27"/>
  <c r="BH102" i="27"/>
  <c r="BH61" i="27"/>
  <c r="BH10" i="27"/>
  <c r="BH97" i="27"/>
  <c r="BH53" i="27"/>
  <c r="BH5" i="27"/>
  <c r="BH96" i="27"/>
  <c r="BH92" i="27"/>
  <c r="BH47" i="27"/>
  <c r="BH25" i="27"/>
  <c r="BH20" i="27"/>
  <c r="BH79" i="27"/>
  <c r="BH48" i="27"/>
  <c r="BH91" i="27"/>
  <c r="BH29" i="27"/>
  <c r="BH109" i="27"/>
  <c r="BH104" i="27"/>
  <c r="BH99" i="27"/>
  <c r="BH74" i="27"/>
  <c r="BH72" i="27"/>
  <c r="BH70" i="27"/>
  <c r="BH68" i="27"/>
  <c r="BH55" i="27"/>
  <c r="BH50" i="27"/>
  <c r="BH42" i="27"/>
  <c r="BH30" i="27"/>
  <c r="BH26" i="27"/>
  <c r="BH21" i="27"/>
  <c r="BH16" i="27"/>
  <c r="BH11" i="27"/>
  <c r="BH6" i="27"/>
  <c r="BH66" i="27"/>
  <c r="BH64" i="27"/>
  <c r="BH37" i="27"/>
  <c r="BH107" i="27"/>
  <c r="BH90" i="27"/>
  <c r="BH85" i="27"/>
  <c r="BH82" i="27"/>
  <c r="BH77" i="27"/>
  <c r="BH62" i="27"/>
  <c r="BH57" i="27"/>
  <c r="BH51" i="27"/>
  <c r="BH44" i="27"/>
  <c r="BH32" i="27"/>
  <c r="BH27" i="27"/>
  <c r="BH22" i="27"/>
  <c r="BH18" i="27"/>
  <c r="BH12" i="27"/>
  <c r="BH3" i="27"/>
  <c r="BH31" i="27"/>
  <c r="BH105" i="27"/>
  <c r="BH100" i="27"/>
  <c r="BH95" i="27"/>
  <c r="BH88" i="27"/>
  <c r="BH59" i="27"/>
  <c r="BH58" i="27"/>
  <c r="BH45" i="27"/>
  <c r="BH38" i="27"/>
  <c r="BH33" i="27"/>
  <c r="BH23" i="27"/>
  <c r="BH8" i="27"/>
  <c r="BH56" i="27"/>
  <c r="BH43" i="27"/>
  <c r="BH17" i="27"/>
  <c r="BH7" i="27"/>
  <c r="BH98" i="27"/>
  <c r="BH93" i="27"/>
  <c r="BH86" i="27"/>
  <c r="BH80" i="27"/>
  <c r="BH75" i="27"/>
  <c r="BH73" i="27"/>
  <c r="BH71" i="27"/>
  <c r="BH69" i="27"/>
  <c r="BH67" i="27"/>
  <c r="BH60" i="27"/>
  <c r="BH52" i="27"/>
  <c r="BH39" i="27"/>
  <c r="BH34" i="27"/>
  <c r="BH28" i="27"/>
  <c r="BH24" i="27"/>
  <c r="BH19" i="27"/>
  <c r="BH13" i="27"/>
  <c r="BH4" i="27"/>
  <c r="BH108" i="27"/>
  <c r="BH103" i="27"/>
  <c r="BH78" i="27"/>
  <c r="BH65" i="27"/>
  <c r="BH63" i="27"/>
  <c r="BH46" i="27"/>
  <c r="BH40" i="27"/>
  <c r="BH35" i="27"/>
  <c r="BH9" i="27"/>
  <c r="BH94" i="27"/>
  <c r="BH89" i="27"/>
  <c r="BH87" i="27"/>
  <c r="BH81" i="27"/>
  <c r="BH76" i="27"/>
  <c r="BH54" i="27"/>
  <c r="BH49" i="27"/>
  <c r="BH41" i="27"/>
  <c r="BH36" i="27"/>
  <c r="BH15" i="27"/>
  <c r="BE1" i="27"/>
  <c r="BD1" i="27"/>
  <c r="BL1" i="27" s="1"/>
  <c r="O1" i="12" l="1"/>
  <c r="L27" i="13" l="1"/>
  <c r="AN1" i="11"/>
  <c r="I37" i="13"/>
  <c r="I32" i="13"/>
  <c r="AP1" i="11" l="1"/>
  <c r="AN2" i="11"/>
  <c r="AN108" i="11"/>
  <c r="AN100" i="11"/>
  <c r="AN92" i="11"/>
  <c r="AN84" i="11"/>
  <c r="AN80" i="11"/>
  <c r="AN76" i="11"/>
  <c r="AN72" i="11"/>
  <c r="AN68" i="11"/>
  <c r="AN64" i="11"/>
  <c r="AN60" i="11"/>
  <c r="AN56" i="11"/>
  <c r="AN52" i="11"/>
  <c r="AN48" i="11"/>
  <c r="AN44" i="11"/>
  <c r="AN40" i="11"/>
  <c r="AN36" i="11"/>
  <c r="AN32" i="11"/>
  <c r="AN28" i="11"/>
  <c r="AN24" i="11"/>
  <c r="AN20" i="11"/>
  <c r="AN16" i="11"/>
  <c r="AN12" i="11"/>
  <c r="AN8" i="11"/>
  <c r="AN4" i="11"/>
  <c r="N25" i="13"/>
  <c r="AN102" i="11"/>
  <c r="AN90" i="11"/>
  <c r="AN78" i="11"/>
  <c r="AN66" i="11"/>
  <c r="AN50" i="11"/>
  <c r="AN38" i="11"/>
  <c r="AN30" i="11"/>
  <c r="AN18" i="11"/>
  <c r="AN14" i="11"/>
  <c r="AN98" i="11"/>
  <c r="AN86" i="11"/>
  <c r="AN74" i="11"/>
  <c r="AN70" i="11"/>
  <c r="AN58" i="11"/>
  <c r="AN46" i="11"/>
  <c r="AN34" i="11"/>
  <c r="AN22" i="11"/>
  <c r="AN6" i="11"/>
  <c r="AN109" i="11"/>
  <c r="AN105" i="11"/>
  <c r="AN101" i="11"/>
  <c r="AN97" i="11"/>
  <c r="AN93" i="11"/>
  <c r="AN89" i="11"/>
  <c r="AN85" i="11"/>
  <c r="AN81" i="11"/>
  <c r="AN77" i="11"/>
  <c r="AN73" i="11"/>
  <c r="AN69" i="11"/>
  <c r="AN65" i="11"/>
  <c r="AN61" i="11"/>
  <c r="AN57" i="11"/>
  <c r="AN53" i="11"/>
  <c r="AN49" i="11"/>
  <c r="AN45" i="11"/>
  <c r="AN41" i="11"/>
  <c r="AN37" i="11"/>
  <c r="AN33" i="11"/>
  <c r="AN29" i="11"/>
  <c r="AN25" i="11"/>
  <c r="AN21" i="11"/>
  <c r="AN17" i="11"/>
  <c r="AN13" i="11"/>
  <c r="AN9" i="11"/>
  <c r="AN5" i="11"/>
  <c r="N10" i="13"/>
  <c r="AN104" i="11"/>
  <c r="AN96" i="11"/>
  <c r="AN88" i="11"/>
  <c r="AN107" i="11"/>
  <c r="AN103" i="11"/>
  <c r="AN99" i="11"/>
  <c r="AN95" i="11"/>
  <c r="AN91" i="11"/>
  <c r="AN87" i="11"/>
  <c r="AN83" i="11"/>
  <c r="AN79" i="11"/>
  <c r="AN75" i="11"/>
  <c r="AN71" i="11"/>
  <c r="AN67" i="11"/>
  <c r="AN63" i="11"/>
  <c r="AN59" i="11"/>
  <c r="AN55" i="11"/>
  <c r="AN51" i="11"/>
  <c r="AN47" i="11"/>
  <c r="AN43" i="11"/>
  <c r="AN39" i="11"/>
  <c r="AN35" i="11"/>
  <c r="AN31" i="11"/>
  <c r="AN27" i="11"/>
  <c r="AN23" i="11"/>
  <c r="AN19" i="11"/>
  <c r="AN15" i="11"/>
  <c r="AN11" i="11"/>
  <c r="AN7" i="11"/>
  <c r="AN3" i="11"/>
  <c r="AN106" i="11"/>
  <c r="AN94" i="11"/>
  <c r="AN82" i="11"/>
  <c r="AN62" i="11"/>
  <c r="AN54" i="11"/>
  <c r="AN42" i="11"/>
  <c r="AN26" i="11"/>
  <c r="AN10" i="11"/>
  <c r="AR1" i="11"/>
  <c r="AT1" i="11"/>
  <c r="CS8" i="27"/>
  <c r="CW5" i="27" l="1"/>
  <c r="N47" i="25"/>
  <c r="CS9" i="27"/>
  <c r="N48" i="25" s="1"/>
  <c r="CZ5" i="27"/>
  <c r="CY5" i="27"/>
  <c r="CV5" i="27"/>
  <c r="CU5" i="27"/>
  <c r="CX5" i="27"/>
  <c r="CT5" i="27"/>
  <c r="X1" i="12"/>
  <c r="Y1" i="12"/>
  <c r="Z1" i="12"/>
  <c r="AA1" i="12"/>
  <c r="AB1" i="12"/>
  <c r="AC1" i="12"/>
  <c r="N1" i="12"/>
  <c r="P1" i="12"/>
  <c r="Q1" i="12"/>
  <c r="R1" i="12"/>
  <c r="S1" i="12"/>
  <c r="T1" i="12"/>
  <c r="U1" i="12"/>
  <c r="F1" i="12"/>
  <c r="G1" i="12"/>
  <c r="H1" i="12"/>
  <c r="I1" i="12"/>
  <c r="J1" i="12"/>
  <c r="K1" i="12"/>
  <c r="DB18" i="27" l="1"/>
  <c r="DB6" i="27"/>
  <c r="DC3" i="27" s="1"/>
  <c r="CB1" i="27"/>
  <c r="CC1" i="27"/>
  <c r="CD1" i="27"/>
  <c r="CE1" i="27"/>
  <c r="CF1" i="27"/>
  <c r="CG1" i="27"/>
  <c r="CH1" i="27"/>
  <c r="CI1" i="27"/>
  <c r="CA1" i="27"/>
  <c r="BS1" i="27"/>
  <c r="BT1" i="27"/>
  <c r="BU1" i="27"/>
  <c r="BV1" i="27"/>
  <c r="BW1" i="27"/>
  <c r="BX1" i="27"/>
  <c r="BY1" i="27"/>
  <c r="BZ1" i="27"/>
  <c r="BR1" i="27"/>
  <c r="DD3" i="27" l="1"/>
  <c r="DE3" i="27"/>
  <c r="DF3" i="27"/>
  <c r="DF4" i="27"/>
  <c r="DC4" i="27"/>
  <c r="DD4" i="27"/>
  <c r="DE4" i="27"/>
  <c r="U2" i="5"/>
  <c r="T2" i="5"/>
  <c r="G11" i="30" l="1"/>
  <c r="CO1" i="27" l="1"/>
  <c r="BI16" i="27"/>
  <c r="BG16" i="27" s="1"/>
  <c r="BI47" i="27"/>
  <c r="BG47" i="27" s="1"/>
  <c r="BI62" i="27"/>
  <c r="BG62" i="27" s="1"/>
  <c r="BI77" i="27"/>
  <c r="BG77" i="27" s="1"/>
  <c r="BI83" i="27"/>
  <c r="BG83" i="27" s="1"/>
  <c r="BI90" i="27"/>
  <c r="BG90" i="27" s="1"/>
  <c r="BI101" i="27"/>
  <c r="BG101" i="27" s="1"/>
  <c r="BI107" i="27"/>
  <c r="BG107" i="27" s="1"/>
  <c r="BI96" i="27"/>
  <c r="BG96" i="27" s="1"/>
  <c r="BI22" i="27"/>
  <c r="BG22" i="27" s="1"/>
  <c r="BI32" i="27"/>
  <c r="BG32" i="27" s="1"/>
  <c r="BI38" i="27"/>
  <c r="BG38" i="27" s="1"/>
  <c r="BI43" i="27"/>
  <c r="BG43" i="27" s="1"/>
  <c r="BI66" i="27"/>
  <c r="BG66" i="27" s="1"/>
  <c r="BI78" i="27"/>
  <c r="BG78" i="27" s="1"/>
  <c r="BI108" i="27"/>
  <c r="BG108" i="27" s="1"/>
  <c r="BI109" i="27"/>
  <c r="BG109" i="27" s="1"/>
  <c r="BI6" i="27"/>
  <c r="BG6" i="27" s="1"/>
  <c r="BI17" i="27"/>
  <c r="BG17" i="27" s="1"/>
  <c r="BI58" i="27"/>
  <c r="BG58" i="27" s="1"/>
  <c r="BI67" i="27"/>
  <c r="BG67" i="27" s="1"/>
  <c r="BI84" i="27"/>
  <c r="BG84" i="27" s="1"/>
  <c r="BI91" i="27"/>
  <c r="BG91" i="27" s="1"/>
  <c r="BI23" i="27"/>
  <c r="BG23" i="27" s="1"/>
  <c r="BI33" i="27"/>
  <c r="BG33" i="27" s="1"/>
  <c r="BI39" i="27"/>
  <c r="BG39" i="27" s="1"/>
  <c r="BI48" i="27"/>
  <c r="BG48" i="27" s="1"/>
  <c r="BI70" i="27"/>
  <c r="BG70" i="27" s="1"/>
  <c r="BI79" i="27"/>
  <c r="BG79" i="27" s="1"/>
  <c r="BI85" i="27"/>
  <c r="BG85" i="27" s="1"/>
  <c r="BI97" i="27"/>
  <c r="BG97" i="27" s="1"/>
  <c r="BI103" i="27"/>
  <c r="BG103" i="27" s="1"/>
  <c r="BI94" i="27"/>
  <c r="BG94" i="27" s="1"/>
  <c r="BI54" i="27"/>
  <c r="BG54" i="27" s="1"/>
  <c r="BI59" i="27"/>
  <c r="BG59" i="27" s="1"/>
  <c r="BI71" i="27"/>
  <c r="BG71" i="27" s="1"/>
  <c r="BI80" i="27"/>
  <c r="BG80" i="27" s="1"/>
  <c r="BI86" i="27"/>
  <c r="BG86" i="27" s="1"/>
  <c r="BI92" i="27"/>
  <c r="BG92" i="27" s="1"/>
  <c r="BI98" i="27"/>
  <c r="BG98" i="27" s="1"/>
  <c r="BI104" i="27"/>
  <c r="BG104" i="27" s="1"/>
  <c r="BI75" i="27"/>
  <c r="BG75" i="27" s="1"/>
  <c r="BI100" i="27"/>
  <c r="BG100" i="27" s="1"/>
  <c r="BI89" i="27"/>
  <c r="BG89" i="27" s="1"/>
  <c r="BI14" i="27"/>
  <c r="BG14" i="27" s="1"/>
  <c r="BI30" i="27"/>
  <c r="BG30" i="27" s="1"/>
  <c r="BI46" i="27"/>
  <c r="BG46" i="27" s="1"/>
  <c r="BI49" i="27"/>
  <c r="BG49" i="27" s="1"/>
  <c r="BI74" i="27"/>
  <c r="BG74" i="27" s="1"/>
  <c r="BI81" i="27"/>
  <c r="BG81" i="27" s="1"/>
  <c r="BI87" i="27"/>
  <c r="BG87" i="27" s="1"/>
  <c r="BI93" i="27"/>
  <c r="BG93" i="27" s="1"/>
  <c r="BI99" i="27"/>
  <c r="BG99" i="27" s="1"/>
  <c r="BI105" i="27"/>
  <c r="BG105" i="27" s="1"/>
  <c r="BI88" i="27"/>
  <c r="BG88" i="27" s="1"/>
  <c r="BI76" i="27"/>
  <c r="BG76" i="27" s="1"/>
  <c r="BI95" i="27"/>
  <c r="BG95" i="27" s="1"/>
  <c r="BI102" i="27"/>
  <c r="BG102" i="27" s="1"/>
  <c r="BI82" i="27"/>
  <c r="BG82" i="27" s="1"/>
  <c r="BI31" i="27"/>
  <c r="BG31" i="27" s="1"/>
  <c r="BI42" i="27"/>
  <c r="BG42" i="27" s="1"/>
  <c r="BI56" i="27"/>
  <c r="BG56" i="27" s="1"/>
  <c r="BI106" i="27"/>
  <c r="BG106" i="27" s="1"/>
  <c r="BI4" i="27"/>
  <c r="BG4" i="27" s="1"/>
  <c r="BI40" i="27"/>
  <c r="BG40" i="27" s="1"/>
  <c r="BI26" i="27"/>
  <c r="BG26" i="27" s="1"/>
  <c r="BI57" i="27"/>
  <c r="BG57" i="27" s="1"/>
  <c r="BI60" i="27"/>
  <c r="BG60" i="27" s="1"/>
  <c r="BI61" i="27"/>
  <c r="BG61" i="27" s="1"/>
  <c r="BI64" i="27"/>
  <c r="BG64" i="27" s="1"/>
  <c r="BI19" i="27"/>
  <c r="BG19" i="27" s="1"/>
  <c r="BI34" i="27"/>
  <c r="BG34" i="27" s="1"/>
  <c r="BI35" i="27"/>
  <c r="BG35" i="27" s="1"/>
  <c r="BI52" i="27"/>
  <c r="BG52" i="27" s="1"/>
  <c r="BI11" i="27"/>
  <c r="BG11" i="27" s="1"/>
  <c r="BI15" i="27"/>
  <c r="BG15" i="27" s="1"/>
  <c r="BI41" i="27"/>
  <c r="BG41" i="27" s="1"/>
  <c r="BI27" i="27"/>
  <c r="BG27" i="27" s="1"/>
  <c r="BI63" i="27"/>
  <c r="BG63" i="27" s="1"/>
  <c r="BI5" i="27"/>
  <c r="BG5" i="27" s="1"/>
  <c r="BI65" i="27"/>
  <c r="BG65" i="27" s="1"/>
  <c r="BI2" i="27"/>
  <c r="BG2" i="27" s="1"/>
  <c r="BI12" i="27"/>
  <c r="BG12" i="27" s="1"/>
  <c r="BI18" i="27"/>
  <c r="BG18" i="27" s="1"/>
  <c r="BI20" i="27"/>
  <c r="BG20" i="27" s="1"/>
  <c r="BI3" i="27"/>
  <c r="BG3" i="27" s="1"/>
  <c r="BI13" i="27"/>
  <c r="BG13" i="27" s="1"/>
  <c r="BI21" i="27"/>
  <c r="BG21" i="27" s="1"/>
  <c r="BI7" i="27"/>
  <c r="BG7" i="27" s="1"/>
  <c r="BI24" i="27"/>
  <c r="BG24" i="27" s="1"/>
  <c r="BI45" i="27"/>
  <c r="BG45" i="27" s="1"/>
  <c r="BI55" i="27"/>
  <c r="BG55" i="27" s="1"/>
  <c r="BI69" i="27"/>
  <c r="BG69" i="27" s="1"/>
  <c r="BI73" i="27"/>
  <c r="BG73" i="27" s="1"/>
  <c r="BI36" i="27"/>
  <c r="BG36" i="27" s="1"/>
  <c r="BI10" i="27"/>
  <c r="BG10" i="27" s="1"/>
  <c r="BI25" i="27"/>
  <c r="BG25" i="27" s="1"/>
  <c r="BI8" i="27"/>
  <c r="BG8" i="27" s="1"/>
  <c r="BI68" i="27"/>
  <c r="BG68" i="27" s="1"/>
  <c r="BI28" i="27"/>
  <c r="BG28" i="27" s="1"/>
  <c r="BI37" i="27"/>
  <c r="BG37" i="27" s="1"/>
  <c r="BI50" i="27"/>
  <c r="BG50" i="27" s="1"/>
  <c r="BI51" i="27"/>
  <c r="BG51" i="27" s="1"/>
  <c r="BI9" i="27"/>
  <c r="BG9" i="27" s="1"/>
  <c r="BI72" i="27"/>
  <c r="BG72" i="27" s="1"/>
  <c r="BI29" i="27"/>
  <c r="BG29" i="27" s="1"/>
  <c r="BI44" i="27"/>
  <c r="BG44" i="27" s="1"/>
  <c r="BI53" i="27"/>
  <c r="BG53" i="27" s="1"/>
  <c r="O11" i="7"/>
  <c r="N46" i="7" l="1"/>
  <c r="Q45" i="7"/>
  <c r="P43" i="7"/>
  <c r="O46" i="7"/>
  <c r="M45" i="7"/>
  <c r="Q43" i="7"/>
  <c r="P46" i="7"/>
  <c r="N44" i="7"/>
  <c r="N43" i="7"/>
  <c r="O45" i="7"/>
  <c r="Q46" i="7"/>
  <c r="O44" i="7"/>
  <c r="M43" i="7"/>
  <c r="M46" i="7"/>
  <c r="P44" i="7"/>
  <c r="N45" i="7"/>
  <c r="Q44" i="7"/>
  <c r="M44" i="7"/>
  <c r="P45" i="7"/>
  <c r="O43" i="7"/>
  <c r="S1" i="27"/>
  <c r="U3" i="34"/>
  <c r="V3" i="34"/>
  <c r="W3" i="34"/>
  <c r="X3" i="34"/>
  <c r="Y3" i="34"/>
  <c r="Z3" i="34"/>
  <c r="AA3" i="34"/>
  <c r="AB3" i="34"/>
  <c r="AC3" i="34"/>
  <c r="U4" i="34"/>
  <c r="V4" i="34"/>
  <c r="W4" i="34"/>
  <c r="X4" i="34"/>
  <c r="Y4" i="34"/>
  <c r="Z4" i="34"/>
  <c r="AA4" i="34"/>
  <c r="AB4" i="34"/>
  <c r="AC4" i="34"/>
  <c r="U5" i="34"/>
  <c r="V5" i="34"/>
  <c r="W5" i="34"/>
  <c r="X5" i="34"/>
  <c r="Y5" i="34"/>
  <c r="Z5" i="34"/>
  <c r="AA5" i="34"/>
  <c r="AB5" i="34"/>
  <c r="AC5" i="34"/>
  <c r="U6" i="34"/>
  <c r="V6" i="34"/>
  <c r="W6" i="34"/>
  <c r="X6" i="34"/>
  <c r="Y6" i="34"/>
  <c r="Z6" i="34"/>
  <c r="AA6" i="34"/>
  <c r="AB6" i="34"/>
  <c r="AC6" i="34"/>
  <c r="U7" i="34"/>
  <c r="V7" i="34"/>
  <c r="W7" i="34"/>
  <c r="X7" i="34"/>
  <c r="Y7" i="34"/>
  <c r="Z7" i="34"/>
  <c r="AA7" i="34"/>
  <c r="AB7" i="34"/>
  <c r="AC7" i="34"/>
  <c r="U8" i="34"/>
  <c r="V8" i="34"/>
  <c r="W8" i="34"/>
  <c r="X8" i="34"/>
  <c r="Y8" i="34"/>
  <c r="Z8" i="34"/>
  <c r="AA8" i="34"/>
  <c r="AB8" i="34"/>
  <c r="AC8" i="34"/>
  <c r="U9" i="34"/>
  <c r="V9" i="34"/>
  <c r="W9" i="34"/>
  <c r="X9" i="34"/>
  <c r="Y9" i="34"/>
  <c r="Z9" i="34"/>
  <c r="AA9" i="34"/>
  <c r="AB9" i="34"/>
  <c r="AC9" i="34"/>
  <c r="U10" i="34"/>
  <c r="V10" i="34"/>
  <c r="W10" i="34"/>
  <c r="X10" i="34"/>
  <c r="Y10" i="34"/>
  <c r="Z10" i="34"/>
  <c r="AA10" i="34"/>
  <c r="AB10" i="34"/>
  <c r="AC10" i="34"/>
  <c r="U11" i="34"/>
  <c r="V11" i="34"/>
  <c r="W11" i="34"/>
  <c r="X11" i="34"/>
  <c r="Y11" i="34"/>
  <c r="Z11" i="34"/>
  <c r="AA11" i="34"/>
  <c r="AB11" i="34"/>
  <c r="AC11" i="34"/>
  <c r="U12" i="34"/>
  <c r="V12" i="34"/>
  <c r="W12" i="34"/>
  <c r="X12" i="34"/>
  <c r="Y12" i="34"/>
  <c r="Z12" i="34"/>
  <c r="AA12" i="34"/>
  <c r="AB12" i="34"/>
  <c r="AC12" i="34"/>
  <c r="U13" i="34"/>
  <c r="V13" i="34"/>
  <c r="W13" i="34"/>
  <c r="X13" i="34"/>
  <c r="Y13" i="34"/>
  <c r="Z13" i="34"/>
  <c r="AA13" i="34"/>
  <c r="AB13" i="34"/>
  <c r="AC13" i="34"/>
  <c r="U14" i="34"/>
  <c r="V14" i="34"/>
  <c r="W14" i="34"/>
  <c r="X14" i="34"/>
  <c r="Y14" i="34"/>
  <c r="Z14" i="34"/>
  <c r="AA14" i="34"/>
  <c r="AB14" i="34"/>
  <c r="AC14" i="34"/>
  <c r="U15" i="34"/>
  <c r="V15" i="34"/>
  <c r="W15" i="34"/>
  <c r="X15" i="34"/>
  <c r="Y15" i="34"/>
  <c r="Z15" i="34"/>
  <c r="AA15" i="34"/>
  <c r="AB15" i="34"/>
  <c r="AC15" i="34"/>
  <c r="U16" i="34"/>
  <c r="V16" i="34"/>
  <c r="W16" i="34"/>
  <c r="X16" i="34"/>
  <c r="Y16" i="34"/>
  <c r="Z16" i="34"/>
  <c r="AA16" i="34"/>
  <c r="AB16" i="34"/>
  <c r="AC16" i="34"/>
  <c r="U17" i="34"/>
  <c r="V17" i="34"/>
  <c r="W17" i="34"/>
  <c r="X17" i="34"/>
  <c r="Y17" i="34"/>
  <c r="Z17" i="34"/>
  <c r="AA17" i="34"/>
  <c r="AB17" i="34"/>
  <c r="AC17" i="34"/>
  <c r="U18" i="34"/>
  <c r="V18" i="34"/>
  <c r="W18" i="34"/>
  <c r="X18" i="34"/>
  <c r="Y18" i="34"/>
  <c r="Z18" i="34"/>
  <c r="AA18" i="34"/>
  <c r="AB18" i="34"/>
  <c r="AC18" i="34"/>
  <c r="U19" i="34"/>
  <c r="V19" i="34"/>
  <c r="W19" i="34"/>
  <c r="X19" i="34"/>
  <c r="Y19" i="34"/>
  <c r="Z19" i="34"/>
  <c r="AA19" i="34"/>
  <c r="AB19" i="34"/>
  <c r="AC19" i="34"/>
  <c r="U20" i="34"/>
  <c r="V20" i="34"/>
  <c r="W20" i="34"/>
  <c r="X20" i="34"/>
  <c r="Y20" i="34"/>
  <c r="Z20" i="34"/>
  <c r="AA20" i="34"/>
  <c r="AB20" i="34"/>
  <c r="AC20" i="34"/>
  <c r="U21" i="34"/>
  <c r="V21" i="34"/>
  <c r="W21" i="34"/>
  <c r="X21" i="34"/>
  <c r="Y21" i="34"/>
  <c r="Z21" i="34"/>
  <c r="AA21" i="34"/>
  <c r="AB21" i="34"/>
  <c r="AC21" i="34"/>
  <c r="U22" i="34"/>
  <c r="V22" i="34"/>
  <c r="W22" i="34"/>
  <c r="X22" i="34"/>
  <c r="Y22" i="34"/>
  <c r="Z22" i="34"/>
  <c r="AA22" i="34"/>
  <c r="AB22" i="34"/>
  <c r="AC22" i="34"/>
  <c r="U23" i="34"/>
  <c r="V23" i="34"/>
  <c r="W23" i="34"/>
  <c r="X23" i="34"/>
  <c r="Y23" i="34"/>
  <c r="Z23" i="34"/>
  <c r="AA23" i="34"/>
  <c r="AB23" i="34"/>
  <c r="AC23" i="34"/>
  <c r="U24" i="34"/>
  <c r="V24" i="34"/>
  <c r="W24" i="34"/>
  <c r="X24" i="34"/>
  <c r="Y24" i="34"/>
  <c r="Z24" i="34"/>
  <c r="AA24" i="34"/>
  <c r="AB24" i="34"/>
  <c r="AC24" i="34"/>
  <c r="U25" i="34"/>
  <c r="V25" i="34"/>
  <c r="W25" i="34"/>
  <c r="X25" i="34"/>
  <c r="Y25" i="34"/>
  <c r="Z25" i="34"/>
  <c r="AA25" i="34"/>
  <c r="AB25" i="34"/>
  <c r="AC25" i="34"/>
  <c r="U26" i="34"/>
  <c r="V26" i="34"/>
  <c r="W26" i="34"/>
  <c r="X26" i="34"/>
  <c r="Y26" i="34"/>
  <c r="Z26" i="34"/>
  <c r="AA26" i="34"/>
  <c r="AB26" i="34"/>
  <c r="AC26" i="34"/>
  <c r="U27" i="34"/>
  <c r="V27" i="34"/>
  <c r="W27" i="34"/>
  <c r="X27" i="34"/>
  <c r="Y27" i="34"/>
  <c r="Z27" i="34"/>
  <c r="AA27" i="34"/>
  <c r="AB27" i="34"/>
  <c r="AC27" i="34"/>
  <c r="U28" i="34"/>
  <c r="V28" i="34"/>
  <c r="W28" i="34"/>
  <c r="X28" i="34"/>
  <c r="Y28" i="34"/>
  <c r="Z28" i="34"/>
  <c r="AA28" i="34"/>
  <c r="AB28" i="34"/>
  <c r="AC28" i="34"/>
  <c r="U29" i="34"/>
  <c r="V29" i="34"/>
  <c r="W29" i="34"/>
  <c r="X29" i="34"/>
  <c r="Y29" i="34"/>
  <c r="Z29" i="34"/>
  <c r="AA29" i="34"/>
  <c r="AB29" i="34"/>
  <c r="AC29" i="34"/>
  <c r="U30" i="34"/>
  <c r="V30" i="34"/>
  <c r="W30" i="34"/>
  <c r="X30" i="34"/>
  <c r="Y30" i="34"/>
  <c r="Z30" i="34"/>
  <c r="AA30" i="34"/>
  <c r="AB30" i="34"/>
  <c r="AC30" i="34"/>
  <c r="U31" i="34"/>
  <c r="V31" i="34"/>
  <c r="W31" i="34"/>
  <c r="X31" i="34"/>
  <c r="Y31" i="34"/>
  <c r="Z31" i="34"/>
  <c r="AA31" i="34"/>
  <c r="AB31" i="34"/>
  <c r="AC31" i="34"/>
  <c r="U32" i="34"/>
  <c r="V32" i="34"/>
  <c r="W32" i="34"/>
  <c r="X32" i="34"/>
  <c r="Y32" i="34"/>
  <c r="Z32" i="34"/>
  <c r="AA32" i="34"/>
  <c r="AB32" i="34"/>
  <c r="AC32" i="34"/>
  <c r="U33" i="34"/>
  <c r="V33" i="34"/>
  <c r="W33" i="34"/>
  <c r="X33" i="34"/>
  <c r="Y33" i="34"/>
  <c r="Z33" i="34"/>
  <c r="AA33" i="34"/>
  <c r="AB33" i="34"/>
  <c r="AC33" i="34"/>
  <c r="U34" i="34"/>
  <c r="V34" i="34"/>
  <c r="W34" i="34"/>
  <c r="X34" i="34"/>
  <c r="Y34" i="34"/>
  <c r="Z34" i="34"/>
  <c r="AA34" i="34"/>
  <c r="AB34" i="34"/>
  <c r="AC34" i="34"/>
  <c r="U35" i="34"/>
  <c r="V35" i="34"/>
  <c r="W35" i="34"/>
  <c r="X35" i="34"/>
  <c r="Y35" i="34"/>
  <c r="Z35" i="34"/>
  <c r="AA35" i="34"/>
  <c r="AB35" i="34"/>
  <c r="AC35" i="34"/>
  <c r="U36" i="34"/>
  <c r="V36" i="34"/>
  <c r="W36" i="34"/>
  <c r="X36" i="34"/>
  <c r="Y36" i="34"/>
  <c r="Z36" i="34"/>
  <c r="AA36" i="34"/>
  <c r="AB36" i="34"/>
  <c r="AC36" i="34"/>
  <c r="U37" i="34"/>
  <c r="V37" i="34"/>
  <c r="W37" i="34"/>
  <c r="X37" i="34"/>
  <c r="Y37" i="34"/>
  <c r="Z37" i="34"/>
  <c r="AA37" i="34"/>
  <c r="AB37" i="34"/>
  <c r="AC37" i="34"/>
  <c r="U38" i="34"/>
  <c r="V38" i="34"/>
  <c r="W38" i="34"/>
  <c r="X38" i="34"/>
  <c r="Y38" i="34"/>
  <c r="Z38" i="34"/>
  <c r="AA38" i="34"/>
  <c r="AB38" i="34"/>
  <c r="AC38" i="34"/>
  <c r="U39" i="34"/>
  <c r="V39" i="34"/>
  <c r="W39" i="34"/>
  <c r="X39" i="34"/>
  <c r="Y39" i="34"/>
  <c r="Z39" i="34"/>
  <c r="AA39" i="34"/>
  <c r="AB39" i="34"/>
  <c r="AC39" i="34"/>
  <c r="U40" i="34"/>
  <c r="V40" i="34"/>
  <c r="W40" i="34"/>
  <c r="X40" i="34"/>
  <c r="Y40" i="34"/>
  <c r="Z40" i="34"/>
  <c r="AA40" i="34"/>
  <c r="AB40" i="34"/>
  <c r="AC40" i="34"/>
  <c r="U41" i="34"/>
  <c r="V41" i="34"/>
  <c r="W41" i="34"/>
  <c r="X41" i="34"/>
  <c r="Y41" i="34"/>
  <c r="Z41" i="34"/>
  <c r="AA41" i="34"/>
  <c r="AB41" i="34"/>
  <c r="AC41" i="34"/>
  <c r="U42" i="34"/>
  <c r="V42" i="34"/>
  <c r="W42" i="34"/>
  <c r="X42" i="34"/>
  <c r="Y42" i="34"/>
  <c r="Z42" i="34"/>
  <c r="AA42" i="34"/>
  <c r="AB42" i="34"/>
  <c r="AC42" i="34"/>
  <c r="U43" i="34"/>
  <c r="V43" i="34"/>
  <c r="W43" i="34"/>
  <c r="X43" i="34"/>
  <c r="Y43" i="34"/>
  <c r="Z43" i="34"/>
  <c r="AA43" i="34"/>
  <c r="AB43" i="34"/>
  <c r="AC43" i="34"/>
  <c r="U44" i="34"/>
  <c r="V44" i="34"/>
  <c r="W44" i="34"/>
  <c r="X44" i="34"/>
  <c r="Y44" i="34"/>
  <c r="Z44" i="34"/>
  <c r="AA44" i="34"/>
  <c r="AB44" i="34"/>
  <c r="AC44" i="34"/>
  <c r="U45" i="34"/>
  <c r="V45" i="34"/>
  <c r="W45" i="34"/>
  <c r="X45" i="34"/>
  <c r="Y45" i="34"/>
  <c r="Z45" i="34"/>
  <c r="AA45" i="34"/>
  <c r="AB45" i="34"/>
  <c r="AC45" i="34"/>
  <c r="U46" i="34"/>
  <c r="V46" i="34"/>
  <c r="W46" i="34"/>
  <c r="X46" i="34"/>
  <c r="Y46" i="34"/>
  <c r="Z46" i="34"/>
  <c r="AA46" i="34"/>
  <c r="AB46" i="34"/>
  <c r="AC46" i="34"/>
  <c r="U47" i="34"/>
  <c r="V47" i="34"/>
  <c r="W47" i="34"/>
  <c r="X47" i="34"/>
  <c r="Y47" i="34"/>
  <c r="Z47" i="34"/>
  <c r="AA47" i="34"/>
  <c r="AB47" i="34"/>
  <c r="AC47" i="34"/>
  <c r="U48" i="34"/>
  <c r="V48" i="34"/>
  <c r="W48" i="34"/>
  <c r="X48" i="34"/>
  <c r="Y48" i="34"/>
  <c r="Z48" i="34"/>
  <c r="AA48" i="34"/>
  <c r="AB48" i="34"/>
  <c r="AC48" i="34"/>
  <c r="U49" i="34"/>
  <c r="V49" i="34"/>
  <c r="W49" i="34"/>
  <c r="X49" i="34"/>
  <c r="Y49" i="34"/>
  <c r="Z49" i="34"/>
  <c r="AA49" i="34"/>
  <c r="AB49" i="34"/>
  <c r="AC49" i="34"/>
  <c r="U50" i="34"/>
  <c r="V50" i="34"/>
  <c r="W50" i="34"/>
  <c r="X50" i="34"/>
  <c r="Y50" i="34"/>
  <c r="Z50" i="34"/>
  <c r="AA50" i="34"/>
  <c r="AB50" i="34"/>
  <c r="AC50" i="34"/>
  <c r="U51" i="34"/>
  <c r="V51" i="34"/>
  <c r="W51" i="34"/>
  <c r="X51" i="34"/>
  <c r="Y51" i="34"/>
  <c r="Z51" i="34"/>
  <c r="AA51" i="34"/>
  <c r="AB51" i="34"/>
  <c r="AC51" i="34"/>
  <c r="U52" i="34"/>
  <c r="V52" i="34"/>
  <c r="W52" i="34"/>
  <c r="X52" i="34"/>
  <c r="Y52" i="34"/>
  <c r="Z52" i="34"/>
  <c r="AA52" i="34"/>
  <c r="AB52" i="34"/>
  <c r="AC52" i="34"/>
  <c r="U53" i="34"/>
  <c r="V53" i="34"/>
  <c r="W53" i="34"/>
  <c r="X53" i="34"/>
  <c r="Y53" i="34"/>
  <c r="Z53" i="34"/>
  <c r="AA53" i="34"/>
  <c r="AB53" i="34"/>
  <c r="AC53" i="34"/>
  <c r="U54" i="34"/>
  <c r="V54" i="34"/>
  <c r="W54" i="34"/>
  <c r="X54" i="34"/>
  <c r="Y54" i="34"/>
  <c r="Z54" i="34"/>
  <c r="AA54" i="34"/>
  <c r="AB54" i="34"/>
  <c r="AC54" i="34"/>
  <c r="U55" i="34"/>
  <c r="V55" i="34"/>
  <c r="W55" i="34"/>
  <c r="X55" i="34"/>
  <c r="Y55" i="34"/>
  <c r="Z55" i="34"/>
  <c r="AA55" i="34"/>
  <c r="AB55" i="34"/>
  <c r="AC55" i="34"/>
  <c r="U56" i="34"/>
  <c r="V56" i="34"/>
  <c r="W56" i="34"/>
  <c r="X56" i="34"/>
  <c r="Y56" i="34"/>
  <c r="Z56" i="34"/>
  <c r="AA56" i="34"/>
  <c r="AB56" i="34"/>
  <c r="AC56" i="34"/>
  <c r="U57" i="34"/>
  <c r="V57" i="34"/>
  <c r="W57" i="34"/>
  <c r="X57" i="34"/>
  <c r="Y57" i="34"/>
  <c r="Z57" i="34"/>
  <c r="AA57" i="34"/>
  <c r="AB57" i="34"/>
  <c r="AC57" i="34"/>
  <c r="U58" i="34"/>
  <c r="V58" i="34"/>
  <c r="W58" i="34"/>
  <c r="X58" i="34"/>
  <c r="Y58" i="34"/>
  <c r="Z58" i="34"/>
  <c r="AA58" i="34"/>
  <c r="AB58" i="34"/>
  <c r="AC58" i="34"/>
  <c r="U59" i="34"/>
  <c r="V59" i="34"/>
  <c r="W59" i="34"/>
  <c r="X59" i="34"/>
  <c r="Y59" i="34"/>
  <c r="Z59" i="34"/>
  <c r="AA59" i="34"/>
  <c r="AB59" i="34"/>
  <c r="AC59" i="34"/>
  <c r="U60" i="34"/>
  <c r="V60" i="34"/>
  <c r="W60" i="34"/>
  <c r="X60" i="34"/>
  <c r="Y60" i="34"/>
  <c r="Z60" i="34"/>
  <c r="AA60" i="34"/>
  <c r="AB60" i="34"/>
  <c r="AC60" i="34"/>
  <c r="U61" i="34"/>
  <c r="V61" i="34"/>
  <c r="W61" i="34"/>
  <c r="X61" i="34"/>
  <c r="Y61" i="34"/>
  <c r="Z61" i="34"/>
  <c r="AA61" i="34"/>
  <c r="AB61" i="34"/>
  <c r="AC61" i="34"/>
  <c r="U62" i="34"/>
  <c r="V62" i="34"/>
  <c r="W62" i="34"/>
  <c r="X62" i="34"/>
  <c r="Y62" i="34"/>
  <c r="Z62" i="34"/>
  <c r="AA62" i="34"/>
  <c r="AB62" i="34"/>
  <c r="AC62" i="34"/>
  <c r="U63" i="34"/>
  <c r="V63" i="34"/>
  <c r="W63" i="34"/>
  <c r="X63" i="34"/>
  <c r="Y63" i="34"/>
  <c r="Z63" i="34"/>
  <c r="AA63" i="34"/>
  <c r="AB63" i="34"/>
  <c r="AC63" i="34"/>
  <c r="U64" i="34"/>
  <c r="V64" i="34"/>
  <c r="W64" i="34"/>
  <c r="X64" i="34"/>
  <c r="Y64" i="34"/>
  <c r="Z64" i="34"/>
  <c r="AA64" i="34"/>
  <c r="AB64" i="34"/>
  <c r="AC64" i="34"/>
  <c r="U65" i="34"/>
  <c r="V65" i="34"/>
  <c r="W65" i="34"/>
  <c r="X65" i="34"/>
  <c r="Y65" i="34"/>
  <c r="Z65" i="34"/>
  <c r="AA65" i="34"/>
  <c r="AB65" i="34"/>
  <c r="AC65" i="34"/>
  <c r="U66" i="34"/>
  <c r="V66" i="34"/>
  <c r="W66" i="34"/>
  <c r="X66" i="34"/>
  <c r="Y66" i="34"/>
  <c r="Z66" i="34"/>
  <c r="AA66" i="34"/>
  <c r="AB66" i="34"/>
  <c r="AC66" i="34"/>
  <c r="U67" i="34"/>
  <c r="V67" i="34"/>
  <c r="W67" i="34"/>
  <c r="X67" i="34"/>
  <c r="Y67" i="34"/>
  <c r="Z67" i="34"/>
  <c r="AA67" i="34"/>
  <c r="AB67" i="34"/>
  <c r="AC67" i="34"/>
  <c r="U68" i="34"/>
  <c r="V68" i="34"/>
  <c r="W68" i="34"/>
  <c r="X68" i="34"/>
  <c r="Y68" i="34"/>
  <c r="Z68" i="34"/>
  <c r="AA68" i="34"/>
  <c r="AB68" i="34"/>
  <c r="AC68" i="34"/>
  <c r="U69" i="34"/>
  <c r="V69" i="34"/>
  <c r="W69" i="34"/>
  <c r="X69" i="34"/>
  <c r="Y69" i="34"/>
  <c r="Z69" i="34"/>
  <c r="AA69" i="34"/>
  <c r="AB69" i="34"/>
  <c r="AC69" i="34"/>
  <c r="U70" i="34"/>
  <c r="V70" i="34"/>
  <c r="W70" i="34"/>
  <c r="X70" i="34"/>
  <c r="Y70" i="34"/>
  <c r="Z70" i="34"/>
  <c r="AA70" i="34"/>
  <c r="AB70" i="34"/>
  <c r="AC70" i="34"/>
  <c r="U71" i="34"/>
  <c r="V71" i="34"/>
  <c r="W71" i="34"/>
  <c r="X71" i="34"/>
  <c r="Y71" i="34"/>
  <c r="Z71" i="34"/>
  <c r="AA71" i="34"/>
  <c r="AB71" i="34"/>
  <c r="AC71" i="34"/>
  <c r="U72" i="34"/>
  <c r="V72" i="34"/>
  <c r="W72" i="34"/>
  <c r="X72" i="34"/>
  <c r="Y72" i="34"/>
  <c r="Z72" i="34"/>
  <c r="AA72" i="34"/>
  <c r="AB72" i="34"/>
  <c r="AC72" i="34"/>
  <c r="U73" i="34"/>
  <c r="V73" i="34"/>
  <c r="W73" i="34"/>
  <c r="X73" i="34"/>
  <c r="Y73" i="34"/>
  <c r="Z73" i="34"/>
  <c r="AA73" i="34"/>
  <c r="AB73" i="34"/>
  <c r="AC73" i="34"/>
  <c r="U74" i="34"/>
  <c r="V74" i="34"/>
  <c r="W74" i="34"/>
  <c r="X74" i="34"/>
  <c r="Y74" i="34"/>
  <c r="Z74" i="34"/>
  <c r="AA74" i="34"/>
  <c r="AB74" i="34"/>
  <c r="AC74" i="34"/>
  <c r="U75" i="34"/>
  <c r="V75" i="34"/>
  <c r="W75" i="34"/>
  <c r="X75" i="34"/>
  <c r="Y75" i="34"/>
  <c r="Z75" i="34"/>
  <c r="AA75" i="34"/>
  <c r="AB75" i="34"/>
  <c r="AC75" i="34"/>
  <c r="U76" i="34"/>
  <c r="V76" i="34"/>
  <c r="W76" i="34"/>
  <c r="X76" i="34"/>
  <c r="Y76" i="34"/>
  <c r="Z76" i="34"/>
  <c r="AA76" i="34"/>
  <c r="AB76" i="34"/>
  <c r="AC76" i="34"/>
  <c r="U77" i="34"/>
  <c r="V77" i="34"/>
  <c r="W77" i="34"/>
  <c r="X77" i="34"/>
  <c r="Y77" i="34"/>
  <c r="Z77" i="34"/>
  <c r="AA77" i="34"/>
  <c r="AB77" i="34"/>
  <c r="AC77" i="34"/>
  <c r="U78" i="34"/>
  <c r="V78" i="34"/>
  <c r="W78" i="34"/>
  <c r="X78" i="34"/>
  <c r="Y78" i="34"/>
  <c r="Z78" i="34"/>
  <c r="AA78" i="34"/>
  <c r="AB78" i="34"/>
  <c r="AC78" i="34"/>
  <c r="U79" i="34"/>
  <c r="V79" i="34"/>
  <c r="W79" i="34"/>
  <c r="X79" i="34"/>
  <c r="Y79" i="34"/>
  <c r="Z79" i="34"/>
  <c r="AA79" i="34"/>
  <c r="AB79" i="34"/>
  <c r="AC79" i="34"/>
  <c r="U80" i="34"/>
  <c r="V80" i="34"/>
  <c r="W80" i="34"/>
  <c r="X80" i="34"/>
  <c r="Y80" i="34"/>
  <c r="Z80" i="34"/>
  <c r="AA80" i="34"/>
  <c r="AB80" i="34"/>
  <c r="AC80" i="34"/>
  <c r="U81" i="34"/>
  <c r="V81" i="34"/>
  <c r="W81" i="34"/>
  <c r="X81" i="34"/>
  <c r="Y81" i="34"/>
  <c r="Z81" i="34"/>
  <c r="AA81" i="34"/>
  <c r="AB81" i="34"/>
  <c r="AC81" i="34"/>
  <c r="U82" i="34"/>
  <c r="V82" i="34"/>
  <c r="W82" i="34"/>
  <c r="X82" i="34"/>
  <c r="Y82" i="34"/>
  <c r="Z82" i="34"/>
  <c r="AA82" i="34"/>
  <c r="AB82" i="34"/>
  <c r="AC82" i="34"/>
  <c r="U83" i="34"/>
  <c r="V83" i="34"/>
  <c r="W83" i="34"/>
  <c r="X83" i="34"/>
  <c r="Y83" i="34"/>
  <c r="Z83" i="34"/>
  <c r="AA83" i="34"/>
  <c r="AB83" i="34"/>
  <c r="AC83" i="34"/>
  <c r="U84" i="34"/>
  <c r="V84" i="34"/>
  <c r="W84" i="34"/>
  <c r="X84" i="34"/>
  <c r="Y84" i="34"/>
  <c r="Z84" i="34"/>
  <c r="AA84" i="34"/>
  <c r="AB84" i="34"/>
  <c r="AC84" i="34"/>
  <c r="U85" i="34"/>
  <c r="V85" i="34"/>
  <c r="W85" i="34"/>
  <c r="X85" i="34"/>
  <c r="Y85" i="34"/>
  <c r="Z85" i="34"/>
  <c r="AA85" i="34"/>
  <c r="AB85" i="34"/>
  <c r="AC85" i="34"/>
  <c r="U86" i="34"/>
  <c r="V86" i="34"/>
  <c r="W86" i="34"/>
  <c r="X86" i="34"/>
  <c r="Y86" i="34"/>
  <c r="Z86" i="34"/>
  <c r="AA86" i="34"/>
  <c r="AB86" i="34"/>
  <c r="AC86" i="34"/>
  <c r="U87" i="34"/>
  <c r="V87" i="34"/>
  <c r="W87" i="34"/>
  <c r="X87" i="34"/>
  <c r="Y87" i="34"/>
  <c r="Z87" i="34"/>
  <c r="AA87" i="34"/>
  <c r="AB87" i="34"/>
  <c r="AC87" i="34"/>
  <c r="U88" i="34"/>
  <c r="V88" i="34"/>
  <c r="W88" i="34"/>
  <c r="X88" i="34"/>
  <c r="Y88" i="34"/>
  <c r="Z88" i="34"/>
  <c r="AA88" i="34"/>
  <c r="AB88" i="34"/>
  <c r="AC88" i="34"/>
  <c r="U89" i="34"/>
  <c r="V89" i="34"/>
  <c r="W89" i="34"/>
  <c r="X89" i="34"/>
  <c r="Y89" i="34"/>
  <c r="Z89" i="34"/>
  <c r="AA89" i="34"/>
  <c r="AB89" i="34"/>
  <c r="AC89" i="34"/>
  <c r="U90" i="34"/>
  <c r="V90" i="34"/>
  <c r="W90" i="34"/>
  <c r="X90" i="34"/>
  <c r="Y90" i="34"/>
  <c r="Z90" i="34"/>
  <c r="AA90" i="34"/>
  <c r="AB90" i="34"/>
  <c r="AC90" i="34"/>
  <c r="U91" i="34"/>
  <c r="V91" i="34"/>
  <c r="W91" i="34"/>
  <c r="X91" i="34"/>
  <c r="Y91" i="34"/>
  <c r="Z91" i="34"/>
  <c r="AA91" i="34"/>
  <c r="AB91" i="34"/>
  <c r="AC91" i="34"/>
  <c r="U92" i="34"/>
  <c r="V92" i="34"/>
  <c r="W92" i="34"/>
  <c r="X92" i="34"/>
  <c r="Y92" i="34"/>
  <c r="Z92" i="34"/>
  <c r="AA92" i="34"/>
  <c r="AB92" i="34"/>
  <c r="AC92" i="34"/>
  <c r="U93" i="34"/>
  <c r="V93" i="34"/>
  <c r="W93" i="34"/>
  <c r="X93" i="34"/>
  <c r="Y93" i="34"/>
  <c r="Z93" i="34"/>
  <c r="AA93" i="34"/>
  <c r="AB93" i="34"/>
  <c r="AC93" i="34"/>
  <c r="U94" i="34"/>
  <c r="V94" i="34"/>
  <c r="W94" i="34"/>
  <c r="X94" i="34"/>
  <c r="Y94" i="34"/>
  <c r="Z94" i="34"/>
  <c r="AA94" i="34"/>
  <c r="AB94" i="34"/>
  <c r="AC94" i="34"/>
  <c r="U95" i="34"/>
  <c r="V95" i="34"/>
  <c r="W95" i="34"/>
  <c r="X95" i="34"/>
  <c r="Y95" i="34"/>
  <c r="Z95" i="34"/>
  <c r="AA95" i="34"/>
  <c r="AB95" i="34"/>
  <c r="AC95" i="34"/>
  <c r="U96" i="34"/>
  <c r="V96" i="34"/>
  <c r="W96" i="34"/>
  <c r="X96" i="34"/>
  <c r="Y96" i="34"/>
  <c r="Z96" i="34"/>
  <c r="AA96" i="34"/>
  <c r="AB96" i="34"/>
  <c r="AC96" i="34"/>
  <c r="U97" i="34"/>
  <c r="V97" i="34"/>
  <c r="W97" i="34"/>
  <c r="X97" i="34"/>
  <c r="Y97" i="34"/>
  <c r="Z97" i="34"/>
  <c r="AA97" i="34"/>
  <c r="AB97" i="34"/>
  <c r="AC97" i="34"/>
  <c r="U98" i="34"/>
  <c r="V98" i="34"/>
  <c r="W98" i="34"/>
  <c r="X98" i="34"/>
  <c r="Y98" i="34"/>
  <c r="Z98" i="34"/>
  <c r="AA98" i="34"/>
  <c r="AB98" i="34"/>
  <c r="AC98" i="34"/>
  <c r="U99" i="34"/>
  <c r="V99" i="34"/>
  <c r="W99" i="34"/>
  <c r="X99" i="34"/>
  <c r="Y99" i="34"/>
  <c r="Z99" i="34"/>
  <c r="AA99" i="34"/>
  <c r="AB99" i="34"/>
  <c r="AC99" i="34"/>
  <c r="U100" i="34"/>
  <c r="V100" i="34"/>
  <c r="W100" i="34"/>
  <c r="X100" i="34"/>
  <c r="Y100" i="34"/>
  <c r="Z100" i="34"/>
  <c r="AA100" i="34"/>
  <c r="AB100" i="34"/>
  <c r="AC100" i="34"/>
  <c r="U101" i="34"/>
  <c r="V101" i="34"/>
  <c r="W101" i="34"/>
  <c r="X101" i="34"/>
  <c r="Y101" i="34"/>
  <c r="Z101" i="34"/>
  <c r="AA101" i="34"/>
  <c r="AB101" i="34"/>
  <c r="AC101" i="34"/>
  <c r="U102" i="34"/>
  <c r="V102" i="34"/>
  <c r="W102" i="34"/>
  <c r="X102" i="34"/>
  <c r="Y102" i="34"/>
  <c r="Z102" i="34"/>
  <c r="AA102" i="34"/>
  <c r="AB102" i="34"/>
  <c r="AC102" i="34"/>
  <c r="U103" i="34"/>
  <c r="V103" i="34"/>
  <c r="W103" i="34"/>
  <c r="X103" i="34"/>
  <c r="Y103" i="34"/>
  <c r="Z103" i="34"/>
  <c r="AA103" i="34"/>
  <c r="AB103" i="34"/>
  <c r="AC103" i="34"/>
  <c r="U104" i="34"/>
  <c r="V104" i="34"/>
  <c r="W104" i="34"/>
  <c r="X104" i="34"/>
  <c r="Y104" i="34"/>
  <c r="Z104" i="34"/>
  <c r="AA104" i="34"/>
  <c r="AB104" i="34"/>
  <c r="AC104" i="34"/>
  <c r="U105" i="34"/>
  <c r="V105" i="34"/>
  <c r="W105" i="34"/>
  <c r="X105" i="34"/>
  <c r="Y105" i="34"/>
  <c r="Z105" i="34"/>
  <c r="AA105" i="34"/>
  <c r="AB105" i="34"/>
  <c r="AC105" i="34"/>
  <c r="U106" i="34"/>
  <c r="V106" i="34"/>
  <c r="W106" i="34"/>
  <c r="X106" i="34"/>
  <c r="Y106" i="34"/>
  <c r="Z106" i="34"/>
  <c r="AA106" i="34"/>
  <c r="AB106" i="34"/>
  <c r="AC106" i="34"/>
  <c r="U107" i="34"/>
  <c r="V107" i="34"/>
  <c r="W107" i="34"/>
  <c r="X107" i="34"/>
  <c r="Y107" i="34"/>
  <c r="Z107" i="34"/>
  <c r="AA107" i="34"/>
  <c r="AB107" i="34"/>
  <c r="AC107" i="34"/>
  <c r="U108" i="34"/>
  <c r="V108" i="34"/>
  <c r="W108" i="34"/>
  <c r="X108" i="34"/>
  <c r="Y108" i="34"/>
  <c r="Z108" i="34"/>
  <c r="AA108" i="34"/>
  <c r="AB108" i="34"/>
  <c r="AC108" i="34"/>
  <c r="U109" i="34"/>
  <c r="V109" i="34"/>
  <c r="W109" i="34"/>
  <c r="X109" i="34"/>
  <c r="Y109" i="34"/>
  <c r="Z109" i="34"/>
  <c r="AA109" i="34"/>
  <c r="AB109" i="34"/>
  <c r="AC109" i="34"/>
  <c r="V2" i="34"/>
  <c r="W2" i="34"/>
  <c r="X2" i="34"/>
  <c r="Y2" i="34"/>
  <c r="Z2" i="34"/>
  <c r="AA2" i="34"/>
  <c r="AB2" i="34"/>
  <c r="AC2" i="34"/>
  <c r="U2" i="34"/>
  <c r="Q3" i="34"/>
  <c r="R3" i="34"/>
  <c r="Q4" i="34"/>
  <c r="R4" i="34"/>
  <c r="Q5" i="34"/>
  <c r="R5" i="34"/>
  <c r="Q6" i="34"/>
  <c r="R6" i="34"/>
  <c r="Q7" i="34"/>
  <c r="R7" i="34"/>
  <c r="Q8" i="34"/>
  <c r="R8" i="34"/>
  <c r="Q9" i="34"/>
  <c r="R9" i="34"/>
  <c r="Q10" i="34"/>
  <c r="R10" i="34"/>
  <c r="Q11" i="34"/>
  <c r="R11" i="34"/>
  <c r="Q12" i="34"/>
  <c r="R12" i="34"/>
  <c r="Q13" i="34"/>
  <c r="R13" i="34"/>
  <c r="Q14" i="34"/>
  <c r="R14" i="34"/>
  <c r="Q15" i="34"/>
  <c r="R15" i="34"/>
  <c r="Q16" i="34"/>
  <c r="R16" i="34"/>
  <c r="Q17" i="34"/>
  <c r="R17" i="34"/>
  <c r="Q18" i="34"/>
  <c r="R18" i="34"/>
  <c r="Q19" i="34"/>
  <c r="R19" i="34"/>
  <c r="Q20" i="34"/>
  <c r="R20" i="34"/>
  <c r="Q21" i="34"/>
  <c r="R21" i="34"/>
  <c r="Q22" i="34"/>
  <c r="R22" i="34"/>
  <c r="Q23" i="34"/>
  <c r="R23" i="34"/>
  <c r="Q24" i="34"/>
  <c r="R24" i="34"/>
  <c r="Q25" i="34"/>
  <c r="R25" i="34"/>
  <c r="Q26" i="34"/>
  <c r="R26" i="34"/>
  <c r="Q27" i="34"/>
  <c r="R27" i="34"/>
  <c r="Q28" i="34"/>
  <c r="R28" i="34"/>
  <c r="Q29" i="34"/>
  <c r="R29" i="34"/>
  <c r="Q30" i="34"/>
  <c r="R30" i="34"/>
  <c r="Q31" i="34"/>
  <c r="R31" i="34"/>
  <c r="Q32" i="34"/>
  <c r="R32" i="34"/>
  <c r="Q33" i="34"/>
  <c r="R33" i="34"/>
  <c r="Q34" i="34"/>
  <c r="R34" i="34"/>
  <c r="Q35" i="34"/>
  <c r="R35" i="34"/>
  <c r="Q36" i="34"/>
  <c r="R36" i="34"/>
  <c r="Q37" i="34"/>
  <c r="R37" i="34"/>
  <c r="Q38" i="34"/>
  <c r="R38" i="34"/>
  <c r="Q39" i="34"/>
  <c r="R39" i="34"/>
  <c r="Q40" i="34"/>
  <c r="R40" i="34"/>
  <c r="Q41" i="34"/>
  <c r="R41" i="34"/>
  <c r="Q42" i="34"/>
  <c r="R42" i="34"/>
  <c r="Q43" i="34"/>
  <c r="R43" i="34"/>
  <c r="Q44" i="34"/>
  <c r="R44" i="34"/>
  <c r="Q45" i="34"/>
  <c r="R45" i="34"/>
  <c r="Q46" i="34"/>
  <c r="R46" i="34"/>
  <c r="Q47" i="34"/>
  <c r="R47" i="34"/>
  <c r="Q48" i="34"/>
  <c r="R48" i="34"/>
  <c r="Q49" i="34"/>
  <c r="R49" i="34"/>
  <c r="Q50" i="34"/>
  <c r="R50" i="34"/>
  <c r="Q51" i="34"/>
  <c r="R51" i="34"/>
  <c r="Q52" i="34"/>
  <c r="R52" i="34"/>
  <c r="Q53" i="34"/>
  <c r="R53" i="34"/>
  <c r="Q54" i="34"/>
  <c r="R54" i="34"/>
  <c r="Q55" i="34"/>
  <c r="R55" i="34"/>
  <c r="Q56" i="34"/>
  <c r="R56" i="34"/>
  <c r="Q57" i="34"/>
  <c r="R57" i="34"/>
  <c r="Q58" i="34"/>
  <c r="R58" i="34"/>
  <c r="Q59" i="34"/>
  <c r="R59" i="34"/>
  <c r="Q60" i="34"/>
  <c r="R60" i="34"/>
  <c r="Q61" i="34"/>
  <c r="R61" i="34"/>
  <c r="Q62" i="34"/>
  <c r="R62" i="34"/>
  <c r="Q63" i="34"/>
  <c r="R63" i="34"/>
  <c r="Q64" i="34"/>
  <c r="R64" i="34"/>
  <c r="Q65" i="34"/>
  <c r="R65" i="34"/>
  <c r="Q66" i="34"/>
  <c r="R66" i="34"/>
  <c r="Q67" i="34"/>
  <c r="R67" i="34"/>
  <c r="Q68" i="34"/>
  <c r="R68" i="34"/>
  <c r="Q69" i="34"/>
  <c r="R69" i="34"/>
  <c r="Q70" i="34"/>
  <c r="R70" i="34"/>
  <c r="Q71" i="34"/>
  <c r="R71" i="34"/>
  <c r="Q72" i="34"/>
  <c r="R72" i="34"/>
  <c r="Q73" i="34"/>
  <c r="R73" i="34"/>
  <c r="Q74" i="34"/>
  <c r="R74" i="34"/>
  <c r="Q75" i="34"/>
  <c r="R75" i="34"/>
  <c r="Q76" i="34"/>
  <c r="R76" i="34"/>
  <c r="Q77" i="34"/>
  <c r="R77" i="34"/>
  <c r="Q78" i="34"/>
  <c r="R78" i="34"/>
  <c r="Q79" i="34"/>
  <c r="R79" i="34"/>
  <c r="Q80" i="34"/>
  <c r="R80" i="34"/>
  <c r="Q81" i="34"/>
  <c r="R81" i="34"/>
  <c r="Q82" i="34"/>
  <c r="R82" i="34"/>
  <c r="Q83" i="34"/>
  <c r="R83" i="34"/>
  <c r="Q84" i="34"/>
  <c r="R84" i="34"/>
  <c r="Q85" i="34"/>
  <c r="R85" i="34"/>
  <c r="Q86" i="34"/>
  <c r="R86" i="34"/>
  <c r="Q87" i="34"/>
  <c r="R87" i="34"/>
  <c r="Q88" i="34"/>
  <c r="R88" i="34"/>
  <c r="Q89" i="34"/>
  <c r="R89" i="34"/>
  <c r="Q90" i="34"/>
  <c r="R90" i="34"/>
  <c r="Q91" i="34"/>
  <c r="R91" i="34"/>
  <c r="Q92" i="34"/>
  <c r="R92" i="34"/>
  <c r="Q93" i="34"/>
  <c r="R93" i="34"/>
  <c r="Q94" i="34"/>
  <c r="R94" i="34"/>
  <c r="Q95" i="34"/>
  <c r="R95" i="34"/>
  <c r="Q96" i="34"/>
  <c r="R96" i="34"/>
  <c r="Q97" i="34"/>
  <c r="R97" i="34"/>
  <c r="Q98" i="34"/>
  <c r="R98" i="34"/>
  <c r="Q99" i="34"/>
  <c r="R99" i="34"/>
  <c r="Q100" i="34"/>
  <c r="R100" i="34"/>
  <c r="Q101" i="34"/>
  <c r="R101" i="34"/>
  <c r="Q102" i="34"/>
  <c r="R102" i="34"/>
  <c r="Q103" i="34"/>
  <c r="R103" i="34"/>
  <c r="Q104" i="34"/>
  <c r="R104" i="34"/>
  <c r="Q105" i="34"/>
  <c r="R105" i="34"/>
  <c r="Q106" i="34"/>
  <c r="R106" i="34"/>
  <c r="Q107" i="34"/>
  <c r="R107" i="34"/>
  <c r="Q108" i="34"/>
  <c r="R108" i="34"/>
  <c r="Q109" i="34"/>
  <c r="R109" i="34"/>
  <c r="Q2" i="34"/>
  <c r="R2" i="34"/>
  <c r="M2" i="34"/>
  <c r="N109" i="34"/>
  <c r="M109" i="34"/>
  <c r="L109" i="34"/>
  <c r="K109" i="34"/>
  <c r="J109" i="34"/>
  <c r="I109" i="34"/>
  <c r="H109" i="34"/>
  <c r="G109" i="34"/>
  <c r="N108" i="34"/>
  <c r="M108" i="34"/>
  <c r="L108" i="34"/>
  <c r="K108" i="34"/>
  <c r="J108" i="34"/>
  <c r="I108" i="34"/>
  <c r="H108" i="34"/>
  <c r="G108" i="34"/>
  <c r="N107" i="34"/>
  <c r="M107" i="34"/>
  <c r="L107" i="34"/>
  <c r="K107" i="34"/>
  <c r="J107" i="34"/>
  <c r="I107" i="34"/>
  <c r="H107" i="34"/>
  <c r="G107" i="34"/>
  <c r="N106" i="34"/>
  <c r="M106" i="34"/>
  <c r="L106" i="34"/>
  <c r="K106" i="34"/>
  <c r="J106" i="34"/>
  <c r="I106" i="34"/>
  <c r="H106" i="34"/>
  <c r="G106" i="34"/>
  <c r="N105" i="34"/>
  <c r="M105" i="34"/>
  <c r="L105" i="34"/>
  <c r="K105" i="34"/>
  <c r="J105" i="34"/>
  <c r="I105" i="34"/>
  <c r="H105" i="34"/>
  <c r="G105" i="34"/>
  <c r="N104" i="34"/>
  <c r="M104" i="34"/>
  <c r="L104" i="34"/>
  <c r="K104" i="34"/>
  <c r="J104" i="34"/>
  <c r="I104" i="34"/>
  <c r="H104" i="34"/>
  <c r="G104" i="34"/>
  <c r="N103" i="34"/>
  <c r="M103" i="34"/>
  <c r="L103" i="34"/>
  <c r="K103" i="34"/>
  <c r="J103" i="34"/>
  <c r="I103" i="34"/>
  <c r="H103" i="34"/>
  <c r="G103" i="34"/>
  <c r="N102" i="34"/>
  <c r="M102" i="34"/>
  <c r="L102" i="34"/>
  <c r="K102" i="34"/>
  <c r="J102" i="34"/>
  <c r="I102" i="34"/>
  <c r="H102" i="34"/>
  <c r="G102" i="34"/>
  <c r="N101" i="34"/>
  <c r="M101" i="34"/>
  <c r="L101" i="34"/>
  <c r="K101" i="34"/>
  <c r="J101" i="34"/>
  <c r="I101" i="34"/>
  <c r="H101" i="34"/>
  <c r="G101" i="34"/>
  <c r="N100" i="34"/>
  <c r="M100" i="34"/>
  <c r="L100" i="34"/>
  <c r="K100" i="34"/>
  <c r="J100" i="34"/>
  <c r="I100" i="34"/>
  <c r="H100" i="34"/>
  <c r="G100" i="34"/>
  <c r="N99" i="34"/>
  <c r="M99" i="34"/>
  <c r="L99" i="34"/>
  <c r="K99" i="34"/>
  <c r="J99" i="34"/>
  <c r="I99" i="34"/>
  <c r="H99" i="34"/>
  <c r="G99" i="34"/>
  <c r="N98" i="34"/>
  <c r="M98" i="34"/>
  <c r="L98" i="34"/>
  <c r="K98" i="34"/>
  <c r="J98" i="34"/>
  <c r="I98" i="34"/>
  <c r="H98" i="34"/>
  <c r="G98" i="34"/>
  <c r="N97" i="34"/>
  <c r="M97" i="34"/>
  <c r="L97" i="34"/>
  <c r="K97" i="34"/>
  <c r="J97" i="34"/>
  <c r="I97" i="34"/>
  <c r="H97" i="34"/>
  <c r="G97" i="34"/>
  <c r="N96" i="34"/>
  <c r="M96" i="34"/>
  <c r="L96" i="34"/>
  <c r="K96" i="34"/>
  <c r="J96" i="34"/>
  <c r="I96" i="34"/>
  <c r="H96" i="34"/>
  <c r="G96" i="34"/>
  <c r="N95" i="34"/>
  <c r="M95" i="34"/>
  <c r="L95" i="34"/>
  <c r="K95" i="34"/>
  <c r="J95" i="34"/>
  <c r="I95" i="34"/>
  <c r="H95" i="34"/>
  <c r="G95" i="34"/>
  <c r="N94" i="34"/>
  <c r="M94" i="34"/>
  <c r="L94" i="34"/>
  <c r="K94" i="34"/>
  <c r="J94" i="34"/>
  <c r="I94" i="34"/>
  <c r="H94" i="34"/>
  <c r="G94" i="34"/>
  <c r="N93" i="34"/>
  <c r="M93" i="34"/>
  <c r="L93" i="34"/>
  <c r="K93" i="34"/>
  <c r="J93" i="34"/>
  <c r="I93" i="34"/>
  <c r="H93" i="34"/>
  <c r="G93" i="34"/>
  <c r="N92" i="34"/>
  <c r="M92" i="34"/>
  <c r="L92" i="34"/>
  <c r="K92" i="34"/>
  <c r="J92" i="34"/>
  <c r="I92" i="34"/>
  <c r="H92" i="34"/>
  <c r="G92" i="34"/>
  <c r="N91" i="34"/>
  <c r="M91" i="34"/>
  <c r="L91" i="34"/>
  <c r="K91" i="34"/>
  <c r="J91" i="34"/>
  <c r="I91" i="34"/>
  <c r="H91" i="34"/>
  <c r="G91" i="34"/>
  <c r="N90" i="34"/>
  <c r="M90" i="34"/>
  <c r="L90" i="34"/>
  <c r="K90" i="34"/>
  <c r="J90" i="34"/>
  <c r="I90" i="34"/>
  <c r="H90" i="34"/>
  <c r="G90" i="34"/>
  <c r="N89" i="34"/>
  <c r="M89" i="34"/>
  <c r="L89" i="34"/>
  <c r="K89" i="34"/>
  <c r="J89" i="34"/>
  <c r="I89" i="34"/>
  <c r="H89" i="34"/>
  <c r="G89" i="34"/>
  <c r="N88" i="34"/>
  <c r="M88" i="34"/>
  <c r="L88" i="34"/>
  <c r="K88" i="34"/>
  <c r="J88" i="34"/>
  <c r="I88" i="34"/>
  <c r="H88" i="34"/>
  <c r="G88" i="34"/>
  <c r="N87" i="34"/>
  <c r="M87" i="34"/>
  <c r="L87" i="34"/>
  <c r="K87" i="34"/>
  <c r="J87" i="34"/>
  <c r="I87" i="34"/>
  <c r="H87" i="34"/>
  <c r="G87" i="34"/>
  <c r="N86" i="34"/>
  <c r="M86" i="34"/>
  <c r="L86" i="34"/>
  <c r="K86" i="34"/>
  <c r="J86" i="34"/>
  <c r="I86" i="34"/>
  <c r="H86" i="34"/>
  <c r="G86" i="34"/>
  <c r="N85" i="34"/>
  <c r="M85" i="34"/>
  <c r="L85" i="34"/>
  <c r="K85" i="34"/>
  <c r="J85" i="34"/>
  <c r="I85" i="34"/>
  <c r="H85" i="34"/>
  <c r="G85" i="34"/>
  <c r="N84" i="34"/>
  <c r="M84" i="34"/>
  <c r="L84" i="34"/>
  <c r="K84" i="34"/>
  <c r="J84" i="34"/>
  <c r="I84" i="34"/>
  <c r="H84" i="34"/>
  <c r="G84" i="34"/>
  <c r="N83" i="34"/>
  <c r="M83" i="34"/>
  <c r="L83" i="34"/>
  <c r="K83" i="34"/>
  <c r="J83" i="34"/>
  <c r="I83" i="34"/>
  <c r="H83" i="34"/>
  <c r="G83" i="34"/>
  <c r="N82" i="34"/>
  <c r="M82" i="34"/>
  <c r="L82" i="34"/>
  <c r="K82" i="34"/>
  <c r="J82" i="34"/>
  <c r="I82" i="34"/>
  <c r="H82" i="34"/>
  <c r="G82" i="34"/>
  <c r="N81" i="34"/>
  <c r="M81" i="34"/>
  <c r="L81" i="34"/>
  <c r="K81" i="34"/>
  <c r="J81" i="34"/>
  <c r="I81" i="34"/>
  <c r="H81" i="34"/>
  <c r="G81" i="34"/>
  <c r="N80" i="34"/>
  <c r="M80" i="34"/>
  <c r="L80" i="34"/>
  <c r="K80" i="34"/>
  <c r="J80" i="34"/>
  <c r="I80" i="34"/>
  <c r="H80" i="34"/>
  <c r="G80" i="34"/>
  <c r="N79" i="34"/>
  <c r="M79" i="34"/>
  <c r="L79" i="34"/>
  <c r="K79" i="34"/>
  <c r="J79" i="34"/>
  <c r="I79" i="34"/>
  <c r="H79" i="34"/>
  <c r="G79" i="34"/>
  <c r="N78" i="34"/>
  <c r="M78" i="34"/>
  <c r="L78" i="34"/>
  <c r="K78" i="34"/>
  <c r="J78" i="34"/>
  <c r="I78" i="34"/>
  <c r="H78" i="34"/>
  <c r="G78" i="34"/>
  <c r="N77" i="34"/>
  <c r="M77" i="34"/>
  <c r="L77" i="34"/>
  <c r="K77" i="34"/>
  <c r="J77" i="34"/>
  <c r="I77" i="34"/>
  <c r="H77" i="34"/>
  <c r="G77" i="34"/>
  <c r="N76" i="34"/>
  <c r="M76" i="34"/>
  <c r="L76" i="34"/>
  <c r="K76" i="34"/>
  <c r="J76" i="34"/>
  <c r="I76" i="34"/>
  <c r="H76" i="34"/>
  <c r="G76" i="34"/>
  <c r="N75" i="34"/>
  <c r="M75" i="34"/>
  <c r="L75" i="34"/>
  <c r="K75" i="34"/>
  <c r="J75" i="34"/>
  <c r="I75" i="34"/>
  <c r="H75" i="34"/>
  <c r="G75" i="34"/>
  <c r="N74" i="34"/>
  <c r="M74" i="34"/>
  <c r="L74" i="34"/>
  <c r="K74" i="34"/>
  <c r="J74" i="34"/>
  <c r="I74" i="34"/>
  <c r="H74" i="34"/>
  <c r="G74" i="34"/>
  <c r="N73" i="34"/>
  <c r="M73" i="34"/>
  <c r="L73" i="34"/>
  <c r="K73" i="34"/>
  <c r="J73" i="34"/>
  <c r="I73" i="34"/>
  <c r="H73" i="34"/>
  <c r="G73" i="34"/>
  <c r="N72" i="34"/>
  <c r="M72" i="34"/>
  <c r="L72" i="34"/>
  <c r="K72" i="34"/>
  <c r="J72" i="34"/>
  <c r="I72" i="34"/>
  <c r="H72" i="34"/>
  <c r="G72" i="34"/>
  <c r="N71" i="34"/>
  <c r="M71" i="34"/>
  <c r="L71" i="34"/>
  <c r="K71" i="34"/>
  <c r="J71" i="34"/>
  <c r="I71" i="34"/>
  <c r="H71" i="34"/>
  <c r="G71" i="34"/>
  <c r="N70" i="34"/>
  <c r="M70" i="34"/>
  <c r="L70" i="34"/>
  <c r="K70" i="34"/>
  <c r="J70" i="34"/>
  <c r="I70" i="34"/>
  <c r="H70" i="34"/>
  <c r="G70" i="34"/>
  <c r="N69" i="34"/>
  <c r="M69" i="34"/>
  <c r="L69" i="34"/>
  <c r="K69" i="34"/>
  <c r="J69" i="34"/>
  <c r="I69" i="34"/>
  <c r="H69" i="34"/>
  <c r="G69" i="34"/>
  <c r="N68" i="34"/>
  <c r="M68" i="34"/>
  <c r="L68" i="34"/>
  <c r="K68" i="34"/>
  <c r="J68" i="34"/>
  <c r="I68" i="34"/>
  <c r="H68" i="34"/>
  <c r="G68" i="34"/>
  <c r="N67" i="34"/>
  <c r="M67" i="34"/>
  <c r="L67" i="34"/>
  <c r="K67" i="34"/>
  <c r="J67" i="34"/>
  <c r="I67" i="34"/>
  <c r="H67" i="34"/>
  <c r="G67" i="34"/>
  <c r="N66" i="34"/>
  <c r="M66" i="34"/>
  <c r="L66" i="34"/>
  <c r="K66" i="34"/>
  <c r="J66" i="34"/>
  <c r="I66" i="34"/>
  <c r="H66" i="34"/>
  <c r="G66" i="34"/>
  <c r="N65" i="34"/>
  <c r="M65" i="34"/>
  <c r="L65" i="34"/>
  <c r="K65" i="34"/>
  <c r="J65" i="34"/>
  <c r="I65" i="34"/>
  <c r="H65" i="34"/>
  <c r="G65" i="34"/>
  <c r="N64" i="34"/>
  <c r="M64" i="34"/>
  <c r="L64" i="34"/>
  <c r="K64" i="34"/>
  <c r="J64" i="34"/>
  <c r="I64" i="34"/>
  <c r="H64" i="34"/>
  <c r="G64" i="34"/>
  <c r="N63" i="34"/>
  <c r="M63" i="34"/>
  <c r="L63" i="34"/>
  <c r="K63" i="34"/>
  <c r="J63" i="34"/>
  <c r="I63" i="34"/>
  <c r="H63" i="34"/>
  <c r="G63" i="34"/>
  <c r="N62" i="34"/>
  <c r="M62" i="34"/>
  <c r="L62" i="34"/>
  <c r="K62" i="34"/>
  <c r="J62" i="34"/>
  <c r="I62" i="34"/>
  <c r="H62" i="34"/>
  <c r="G62" i="34"/>
  <c r="N61" i="34"/>
  <c r="M61" i="34"/>
  <c r="L61" i="34"/>
  <c r="K61" i="34"/>
  <c r="J61" i="34"/>
  <c r="I61" i="34"/>
  <c r="H61" i="34"/>
  <c r="G61" i="34"/>
  <c r="N60" i="34"/>
  <c r="M60" i="34"/>
  <c r="L60" i="34"/>
  <c r="K60" i="34"/>
  <c r="J60" i="34"/>
  <c r="I60" i="34"/>
  <c r="H60" i="34"/>
  <c r="G60" i="34"/>
  <c r="N59" i="34"/>
  <c r="M59" i="34"/>
  <c r="L59" i="34"/>
  <c r="K59" i="34"/>
  <c r="J59" i="34"/>
  <c r="I59" i="34"/>
  <c r="H59" i="34"/>
  <c r="G59" i="34"/>
  <c r="N58" i="34"/>
  <c r="M58" i="34"/>
  <c r="L58" i="34"/>
  <c r="K58" i="34"/>
  <c r="J58" i="34"/>
  <c r="I58" i="34"/>
  <c r="H58" i="34"/>
  <c r="G58" i="34"/>
  <c r="N57" i="34"/>
  <c r="M57" i="34"/>
  <c r="L57" i="34"/>
  <c r="K57" i="34"/>
  <c r="J57" i="34"/>
  <c r="I57" i="34"/>
  <c r="H57" i="34"/>
  <c r="G57" i="34"/>
  <c r="N56" i="34"/>
  <c r="M56" i="34"/>
  <c r="L56" i="34"/>
  <c r="K56" i="34"/>
  <c r="J56" i="34"/>
  <c r="I56" i="34"/>
  <c r="H56" i="34"/>
  <c r="G56" i="34"/>
  <c r="N55" i="34"/>
  <c r="M55" i="34"/>
  <c r="L55" i="34"/>
  <c r="K55" i="34"/>
  <c r="J55" i="34"/>
  <c r="I55" i="34"/>
  <c r="H55" i="34"/>
  <c r="G55" i="34"/>
  <c r="N54" i="34"/>
  <c r="M54" i="34"/>
  <c r="L54" i="34"/>
  <c r="K54" i="34"/>
  <c r="J54" i="34"/>
  <c r="I54" i="34"/>
  <c r="H54" i="34"/>
  <c r="G54" i="34"/>
  <c r="N53" i="34"/>
  <c r="M53" i="34"/>
  <c r="L53" i="34"/>
  <c r="K53" i="34"/>
  <c r="J53" i="34"/>
  <c r="I53" i="34"/>
  <c r="H53" i="34"/>
  <c r="G53" i="34"/>
  <c r="N52" i="34"/>
  <c r="M52" i="34"/>
  <c r="L52" i="34"/>
  <c r="K52" i="34"/>
  <c r="J52" i="34"/>
  <c r="I52" i="34"/>
  <c r="H52" i="34"/>
  <c r="G52" i="34"/>
  <c r="N51" i="34"/>
  <c r="M51" i="34"/>
  <c r="L51" i="34"/>
  <c r="K51" i="34"/>
  <c r="J51" i="34"/>
  <c r="I51" i="34"/>
  <c r="H51" i="34"/>
  <c r="G51" i="34"/>
  <c r="N50" i="34"/>
  <c r="M50" i="34"/>
  <c r="L50" i="34"/>
  <c r="K50" i="34"/>
  <c r="J50" i="34"/>
  <c r="I50" i="34"/>
  <c r="H50" i="34"/>
  <c r="G50" i="34"/>
  <c r="N49" i="34"/>
  <c r="M49" i="34"/>
  <c r="L49" i="34"/>
  <c r="K49" i="34"/>
  <c r="J49" i="34"/>
  <c r="I49" i="34"/>
  <c r="H49" i="34"/>
  <c r="G49" i="34"/>
  <c r="N48" i="34"/>
  <c r="M48" i="34"/>
  <c r="L48" i="34"/>
  <c r="K48" i="34"/>
  <c r="J48" i="34"/>
  <c r="I48" i="34"/>
  <c r="H48" i="34"/>
  <c r="G48" i="34"/>
  <c r="N47" i="34"/>
  <c r="M47" i="34"/>
  <c r="L47" i="34"/>
  <c r="K47" i="34"/>
  <c r="J47" i="34"/>
  <c r="I47" i="34"/>
  <c r="H47" i="34"/>
  <c r="G47" i="34"/>
  <c r="N46" i="34"/>
  <c r="M46" i="34"/>
  <c r="L46" i="34"/>
  <c r="K46" i="34"/>
  <c r="J46" i="34"/>
  <c r="I46" i="34"/>
  <c r="H46" i="34"/>
  <c r="G46" i="34"/>
  <c r="N45" i="34"/>
  <c r="M45" i="34"/>
  <c r="L45" i="34"/>
  <c r="K45" i="34"/>
  <c r="J45" i="34"/>
  <c r="I45" i="34"/>
  <c r="H45" i="34"/>
  <c r="G45" i="34"/>
  <c r="N44" i="34"/>
  <c r="M44" i="34"/>
  <c r="L44" i="34"/>
  <c r="K44" i="34"/>
  <c r="J44" i="34"/>
  <c r="I44" i="34"/>
  <c r="H44" i="34"/>
  <c r="G44" i="34"/>
  <c r="N43" i="34"/>
  <c r="M43" i="34"/>
  <c r="L43" i="34"/>
  <c r="K43" i="34"/>
  <c r="J43" i="34"/>
  <c r="I43" i="34"/>
  <c r="H43" i="34"/>
  <c r="G43" i="34"/>
  <c r="N42" i="34"/>
  <c r="M42" i="34"/>
  <c r="L42" i="34"/>
  <c r="K42" i="34"/>
  <c r="J42" i="34"/>
  <c r="I42" i="34"/>
  <c r="H42" i="34"/>
  <c r="G42" i="34"/>
  <c r="N41" i="34"/>
  <c r="M41" i="34"/>
  <c r="L41" i="34"/>
  <c r="K41" i="34"/>
  <c r="J41" i="34"/>
  <c r="I41" i="34"/>
  <c r="H41" i="34"/>
  <c r="G41" i="34"/>
  <c r="N40" i="34"/>
  <c r="M40" i="34"/>
  <c r="L40" i="34"/>
  <c r="K40" i="34"/>
  <c r="J40" i="34"/>
  <c r="I40" i="34"/>
  <c r="H40" i="34"/>
  <c r="G40" i="34"/>
  <c r="N39" i="34"/>
  <c r="M39" i="34"/>
  <c r="L39" i="34"/>
  <c r="K39" i="34"/>
  <c r="J39" i="34"/>
  <c r="I39" i="34"/>
  <c r="H39" i="34"/>
  <c r="G39" i="34"/>
  <c r="N38" i="34"/>
  <c r="M38" i="34"/>
  <c r="L38" i="34"/>
  <c r="K38" i="34"/>
  <c r="J38" i="34"/>
  <c r="I38" i="34"/>
  <c r="H38" i="34"/>
  <c r="G38" i="34"/>
  <c r="N37" i="34"/>
  <c r="M37" i="34"/>
  <c r="L37" i="34"/>
  <c r="K37" i="34"/>
  <c r="J37" i="34"/>
  <c r="I37" i="34"/>
  <c r="H37" i="34"/>
  <c r="G37" i="34"/>
  <c r="N36" i="34"/>
  <c r="M36" i="34"/>
  <c r="L36" i="34"/>
  <c r="K36" i="34"/>
  <c r="J36" i="34"/>
  <c r="I36" i="34"/>
  <c r="H36" i="34"/>
  <c r="G36" i="34"/>
  <c r="N35" i="34"/>
  <c r="M35" i="34"/>
  <c r="L35" i="34"/>
  <c r="K35" i="34"/>
  <c r="J35" i="34"/>
  <c r="I35" i="34"/>
  <c r="H35" i="34"/>
  <c r="G35" i="34"/>
  <c r="N34" i="34"/>
  <c r="M34" i="34"/>
  <c r="L34" i="34"/>
  <c r="K34" i="34"/>
  <c r="J34" i="34"/>
  <c r="I34" i="34"/>
  <c r="H34" i="34"/>
  <c r="G34" i="34"/>
  <c r="N33" i="34"/>
  <c r="M33" i="34"/>
  <c r="L33" i="34"/>
  <c r="K33" i="34"/>
  <c r="J33" i="34"/>
  <c r="I33" i="34"/>
  <c r="H33" i="34"/>
  <c r="G33" i="34"/>
  <c r="N32" i="34"/>
  <c r="M32" i="34"/>
  <c r="L32" i="34"/>
  <c r="K32" i="34"/>
  <c r="J32" i="34"/>
  <c r="I32" i="34"/>
  <c r="H32" i="34"/>
  <c r="G32" i="34"/>
  <c r="N31" i="34"/>
  <c r="M31" i="34"/>
  <c r="L31" i="34"/>
  <c r="K31" i="34"/>
  <c r="J31" i="34"/>
  <c r="I31" i="34"/>
  <c r="H31" i="34"/>
  <c r="G31" i="34"/>
  <c r="N30" i="34"/>
  <c r="M30" i="34"/>
  <c r="L30" i="34"/>
  <c r="K30" i="34"/>
  <c r="J30" i="34"/>
  <c r="I30" i="34"/>
  <c r="H30" i="34"/>
  <c r="G30" i="34"/>
  <c r="N29" i="34"/>
  <c r="M29" i="34"/>
  <c r="L29" i="34"/>
  <c r="K29" i="34"/>
  <c r="J29" i="34"/>
  <c r="I29" i="34"/>
  <c r="H29" i="34"/>
  <c r="G29" i="34"/>
  <c r="N28" i="34"/>
  <c r="M28" i="34"/>
  <c r="L28" i="34"/>
  <c r="K28" i="34"/>
  <c r="J28" i="34"/>
  <c r="I28" i="34"/>
  <c r="H28" i="34"/>
  <c r="G28" i="34"/>
  <c r="N27" i="34"/>
  <c r="M27" i="34"/>
  <c r="L27" i="34"/>
  <c r="K27" i="34"/>
  <c r="J27" i="34"/>
  <c r="I27" i="34"/>
  <c r="H27" i="34"/>
  <c r="G27" i="34"/>
  <c r="N26" i="34"/>
  <c r="M26" i="34"/>
  <c r="L26" i="34"/>
  <c r="K26" i="34"/>
  <c r="J26" i="34"/>
  <c r="I26" i="34"/>
  <c r="H26" i="34"/>
  <c r="G26" i="34"/>
  <c r="N25" i="34"/>
  <c r="M25" i="34"/>
  <c r="L25" i="34"/>
  <c r="K25" i="34"/>
  <c r="J25" i="34"/>
  <c r="I25" i="34"/>
  <c r="H25" i="34"/>
  <c r="G25" i="34"/>
  <c r="N24" i="34"/>
  <c r="M24" i="34"/>
  <c r="L24" i="34"/>
  <c r="K24" i="34"/>
  <c r="J24" i="34"/>
  <c r="I24" i="34"/>
  <c r="H24" i="34"/>
  <c r="G24" i="34"/>
  <c r="N23" i="34"/>
  <c r="M23" i="34"/>
  <c r="L23" i="34"/>
  <c r="K23" i="34"/>
  <c r="J23" i="34"/>
  <c r="I23" i="34"/>
  <c r="H23" i="34"/>
  <c r="G23" i="34"/>
  <c r="N22" i="34"/>
  <c r="M22" i="34"/>
  <c r="L22" i="34"/>
  <c r="K22" i="34"/>
  <c r="J22" i="34"/>
  <c r="I22" i="34"/>
  <c r="H22" i="34"/>
  <c r="G22" i="34"/>
  <c r="N21" i="34"/>
  <c r="M21" i="34"/>
  <c r="L21" i="34"/>
  <c r="K21" i="34"/>
  <c r="J21" i="34"/>
  <c r="I21" i="34"/>
  <c r="H21" i="34"/>
  <c r="G21" i="34"/>
  <c r="N20" i="34"/>
  <c r="M20" i="34"/>
  <c r="L20" i="34"/>
  <c r="K20" i="34"/>
  <c r="J20" i="34"/>
  <c r="I20" i="34"/>
  <c r="H20" i="34"/>
  <c r="G20" i="34"/>
  <c r="N19" i="34"/>
  <c r="M19" i="34"/>
  <c r="L19" i="34"/>
  <c r="K19" i="34"/>
  <c r="J19" i="34"/>
  <c r="I19" i="34"/>
  <c r="H19" i="34"/>
  <c r="G19" i="34"/>
  <c r="N18" i="34"/>
  <c r="M18" i="34"/>
  <c r="L18" i="34"/>
  <c r="K18" i="34"/>
  <c r="J18" i="34"/>
  <c r="I18" i="34"/>
  <c r="H18" i="34"/>
  <c r="G18" i="34"/>
  <c r="N17" i="34"/>
  <c r="M17" i="34"/>
  <c r="L17" i="34"/>
  <c r="K17" i="34"/>
  <c r="J17" i="34"/>
  <c r="I17" i="34"/>
  <c r="H17" i="34"/>
  <c r="G17" i="34"/>
  <c r="N16" i="34"/>
  <c r="M16" i="34"/>
  <c r="L16" i="34"/>
  <c r="K16" i="34"/>
  <c r="J16" i="34"/>
  <c r="I16" i="34"/>
  <c r="H16" i="34"/>
  <c r="G16" i="34"/>
  <c r="N15" i="34"/>
  <c r="M15" i="34"/>
  <c r="L15" i="34"/>
  <c r="K15" i="34"/>
  <c r="J15" i="34"/>
  <c r="I15" i="34"/>
  <c r="H15" i="34"/>
  <c r="G15" i="34"/>
  <c r="N14" i="34"/>
  <c r="M14" i="34"/>
  <c r="L14" i="34"/>
  <c r="K14" i="34"/>
  <c r="J14" i="34"/>
  <c r="I14" i="34"/>
  <c r="H14" i="34"/>
  <c r="G14" i="34"/>
  <c r="N13" i="34"/>
  <c r="M13" i="34"/>
  <c r="L13" i="34"/>
  <c r="K13" i="34"/>
  <c r="J13" i="34"/>
  <c r="I13" i="34"/>
  <c r="H13" i="34"/>
  <c r="G13" i="34"/>
  <c r="N12" i="34"/>
  <c r="M12" i="34"/>
  <c r="L12" i="34"/>
  <c r="K12" i="34"/>
  <c r="J12" i="34"/>
  <c r="I12" i="34"/>
  <c r="H12" i="34"/>
  <c r="G12" i="34"/>
  <c r="N11" i="34"/>
  <c r="M11" i="34"/>
  <c r="L11" i="34"/>
  <c r="K11" i="34"/>
  <c r="J11" i="34"/>
  <c r="I11" i="34"/>
  <c r="H11" i="34"/>
  <c r="G11" i="34"/>
  <c r="N10" i="34"/>
  <c r="M10" i="34"/>
  <c r="L10" i="34"/>
  <c r="K10" i="34"/>
  <c r="J10" i="34"/>
  <c r="I10" i="34"/>
  <c r="H10" i="34"/>
  <c r="G10" i="34"/>
  <c r="N9" i="34"/>
  <c r="M9" i="34"/>
  <c r="L9" i="34"/>
  <c r="K9" i="34"/>
  <c r="J9" i="34"/>
  <c r="I9" i="34"/>
  <c r="H9" i="34"/>
  <c r="G9" i="34"/>
  <c r="N8" i="34"/>
  <c r="M8" i="34"/>
  <c r="L8" i="34"/>
  <c r="K8" i="34"/>
  <c r="J8" i="34"/>
  <c r="I8" i="34"/>
  <c r="H8" i="34"/>
  <c r="G8" i="34"/>
  <c r="N7" i="34"/>
  <c r="M7" i="34"/>
  <c r="L7" i="34"/>
  <c r="K7" i="34"/>
  <c r="J7" i="34"/>
  <c r="I7" i="34"/>
  <c r="H7" i="34"/>
  <c r="G7" i="34"/>
  <c r="N6" i="34"/>
  <c r="M6" i="34"/>
  <c r="L6" i="34"/>
  <c r="K6" i="34"/>
  <c r="J6" i="34"/>
  <c r="I6" i="34"/>
  <c r="H6" i="34"/>
  <c r="G6" i="34"/>
  <c r="N5" i="34"/>
  <c r="M5" i="34"/>
  <c r="L5" i="34"/>
  <c r="K5" i="34"/>
  <c r="J5" i="34"/>
  <c r="I5" i="34"/>
  <c r="H5" i="34"/>
  <c r="G5" i="34"/>
  <c r="N4" i="34"/>
  <c r="M4" i="34"/>
  <c r="L4" i="34"/>
  <c r="K4" i="34"/>
  <c r="J4" i="34"/>
  <c r="I4" i="34"/>
  <c r="H4" i="34"/>
  <c r="G4" i="34"/>
  <c r="N3" i="34"/>
  <c r="M3" i="34"/>
  <c r="L3" i="34"/>
  <c r="K3" i="34"/>
  <c r="J3" i="34"/>
  <c r="I3" i="34"/>
  <c r="H3" i="34"/>
  <c r="G3" i="34"/>
  <c r="N2" i="34"/>
  <c r="L2" i="34"/>
  <c r="K2" i="34"/>
  <c r="J2" i="34"/>
  <c r="I2" i="34"/>
  <c r="H2" i="34"/>
  <c r="G2" i="34"/>
  <c r="F3" i="34"/>
  <c r="F4" i="34"/>
  <c r="F5" i="34"/>
  <c r="F6" i="34"/>
  <c r="F7"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90" i="34"/>
  <c r="F91" i="34"/>
  <c r="F92" i="34"/>
  <c r="F93" i="34"/>
  <c r="F94" i="34"/>
  <c r="F95" i="34"/>
  <c r="F96" i="34"/>
  <c r="F97" i="34"/>
  <c r="F98" i="34"/>
  <c r="F99" i="34"/>
  <c r="F100" i="34"/>
  <c r="F101" i="34"/>
  <c r="F102" i="34"/>
  <c r="F103" i="34"/>
  <c r="F104" i="34"/>
  <c r="F105" i="34"/>
  <c r="F106" i="34"/>
  <c r="F107" i="34"/>
  <c r="F108" i="34"/>
  <c r="F109" i="34"/>
  <c r="F2" i="34"/>
  <c r="T2" i="34"/>
  <c r="T3" i="34"/>
  <c r="T4" i="34"/>
  <c r="T5" i="34"/>
  <c r="T6" i="34"/>
  <c r="T7" i="34"/>
  <c r="T8"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39" i="34"/>
  <c r="T40" i="34"/>
  <c r="T41" i="34"/>
  <c r="T42" i="34"/>
  <c r="T43" i="34"/>
  <c r="T44" i="34"/>
  <c r="T45" i="34"/>
  <c r="T46" i="34"/>
  <c r="T47" i="34"/>
  <c r="T48" i="34"/>
  <c r="T49" i="34"/>
  <c r="T50" i="34"/>
  <c r="T51" i="34"/>
  <c r="T52" i="34"/>
  <c r="T53" i="34"/>
  <c r="T54" i="34"/>
  <c r="T55" i="34"/>
  <c r="T56" i="34"/>
  <c r="T57" i="34"/>
  <c r="T58" i="34"/>
  <c r="T59" i="34"/>
  <c r="T60" i="34"/>
  <c r="T61" i="34"/>
  <c r="T62" i="34"/>
  <c r="T63" i="34"/>
  <c r="T64" i="34"/>
  <c r="T65" i="34"/>
  <c r="T66" i="34"/>
  <c r="T67" i="34"/>
  <c r="T68" i="34"/>
  <c r="T69" i="34"/>
  <c r="T70" i="34"/>
  <c r="T71" i="34"/>
  <c r="T72" i="34"/>
  <c r="T73" i="34"/>
  <c r="T74" i="34"/>
  <c r="T75" i="34"/>
  <c r="T76" i="34"/>
  <c r="T77" i="34"/>
  <c r="T78" i="34"/>
  <c r="T79" i="34"/>
  <c r="T80" i="34"/>
  <c r="T81" i="34"/>
  <c r="T82" i="34"/>
  <c r="T83" i="34"/>
  <c r="T84" i="34"/>
  <c r="T85" i="34"/>
  <c r="T86" i="34"/>
  <c r="T87" i="34"/>
  <c r="T88" i="34"/>
  <c r="T89" i="34"/>
  <c r="T90" i="34"/>
  <c r="T91" i="34"/>
  <c r="T92" i="34"/>
  <c r="T93" i="34"/>
  <c r="T94" i="34"/>
  <c r="T95" i="34"/>
  <c r="T96" i="34"/>
  <c r="T97" i="34"/>
  <c r="T98" i="34"/>
  <c r="T99" i="34"/>
  <c r="T100" i="34"/>
  <c r="T101" i="34"/>
  <c r="T102" i="34"/>
  <c r="T103" i="34"/>
  <c r="T104" i="34"/>
  <c r="T105" i="34"/>
  <c r="T106" i="34"/>
  <c r="T107" i="34"/>
  <c r="T108" i="34"/>
  <c r="T109" i="34"/>
  <c r="P2" i="34"/>
  <c r="P3" i="34"/>
  <c r="P4" i="34"/>
  <c r="P5" i="34"/>
  <c r="P6" i="34"/>
  <c r="P7" i="34"/>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P50" i="34"/>
  <c r="P51" i="34"/>
  <c r="P52" i="34"/>
  <c r="P53" i="34"/>
  <c r="P54" i="34"/>
  <c r="P55" i="34"/>
  <c r="P56" i="34"/>
  <c r="P57" i="34"/>
  <c r="P58" i="34"/>
  <c r="P59" i="34"/>
  <c r="P60" i="34"/>
  <c r="P61" i="34"/>
  <c r="P62" i="34"/>
  <c r="P63" i="34"/>
  <c r="P64" i="34"/>
  <c r="P65" i="34"/>
  <c r="P66" i="34"/>
  <c r="P67" i="34"/>
  <c r="P68" i="34"/>
  <c r="P69" i="34"/>
  <c r="P70" i="34"/>
  <c r="P71" i="34"/>
  <c r="P72" i="34"/>
  <c r="P73" i="34"/>
  <c r="P74" i="34"/>
  <c r="P75" i="34"/>
  <c r="P76" i="34"/>
  <c r="P77" i="34"/>
  <c r="P78" i="34"/>
  <c r="P79" i="34"/>
  <c r="P80" i="34"/>
  <c r="P81" i="34"/>
  <c r="P82" i="34"/>
  <c r="P83" i="34"/>
  <c r="P84" i="34"/>
  <c r="P85" i="34"/>
  <c r="P86" i="34"/>
  <c r="P87" i="34"/>
  <c r="P88" i="34"/>
  <c r="P89" i="34"/>
  <c r="P90" i="34"/>
  <c r="P91" i="34"/>
  <c r="P92" i="34"/>
  <c r="P93" i="34"/>
  <c r="P94" i="34"/>
  <c r="P95" i="34"/>
  <c r="P96" i="34"/>
  <c r="P97" i="34"/>
  <c r="P98" i="34"/>
  <c r="P99" i="34"/>
  <c r="P100" i="34"/>
  <c r="P101" i="34"/>
  <c r="P102" i="34"/>
  <c r="P103" i="34"/>
  <c r="P104" i="34"/>
  <c r="P105" i="34"/>
  <c r="P106" i="34"/>
  <c r="P107" i="34"/>
  <c r="P108" i="34"/>
  <c r="P109" i="34"/>
  <c r="E2" i="34"/>
  <c r="E3" i="34"/>
  <c r="E4" i="34"/>
  <c r="E5" i="34"/>
  <c r="E6" i="34"/>
  <c r="E7" i="34"/>
  <c r="E8" i="34"/>
  <c r="E9" i="34"/>
  <c r="E10" i="34"/>
  <c r="E11" i="34"/>
  <c r="E12" i="34"/>
  <c r="E13" i="34"/>
  <c r="E14" i="34"/>
  <c r="E15" i="34"/>
  <c r="E16" i="34"/>
  <c r="E17" i="34"/>
  <c r="E18" i="34"/>
  <c r="E19" i="34"/>
  <c r="E20" i="34"/>
  <c r="E21" i="34"/>
  <c r="E22" i="34"/>
  <c r="E23" i="34"/>
  <c r="E24" i="34"/>
  <c r="E25" i="34"/>
  <c r="E26" i="34"/>
  <c r="E27" i="34"/>
  <c r="E28" i="34"/>
  <c r="E29" i="34"/>
  <c r="E30" i="34"/>
  <c r="E31" i="34"/>
  <c r="E32" i="34"/>
  <c r="E33" i="34"/>
  <c r="E34" i="34"/>
  <c r="E35" i="34"/>
  <c r="E36" i="34"/>
  <c r="E37" i="34"/>
  <c r="E38" i="34"/>
  <c r="E39" i="34"/>
  <c r="E40" i="34"/>
  <c r="E41" i="34"/>
  <c r="E42" i="34"/>
  <c r="E43" i="34"/>
  <c r="E44" i="34"/>
  <c r="E45" i="34"/>
  <c r="E46" i="34"/>
  <c r="E47" i="34"/>
  <c r="E48" i="34"/>
  <c r="E49" i="34"/>
  <c r="E50" i="34"/>
  <c r="E51" i="34"/>
  <c r="E52" i="34"/>
  <c r="E53" i="34"/>
  <c r="E54" i="34"/>
  <c r="E55" i="34"/>
  <c r="E56" i="34"/>
  <c r="E57" i="34"/>
  <c r="E58" i="34"/>
  <c r="E59" i="34"/>
  <c r="E60" i="34"/>
  <c r="E61" i="34"/>
  <c r="E62" i="34"/>
  <c r="E63" i="34"/>
  <c r="E64" i="34"/>
  <c r="E65" i="34"/>
  <c r="E66" i="34"/>
  <c r="E67" i="34"/>
  <c r="E68" i="34"/>
  <c r="E69" i="34"/>
  <c r="E70" i="34"/>
  <c r="E71" i="34"/>
  <c r="E72" i="34"/>
  <c r="E73" i="34"/>
  <c r="E74" i="34"/>
  <c r="E75" i="34"/>
  <c r="E76" i="34"/>
  <c r="E77" i="34"/>
  <c r="E78" i="34"/>
  <c r="E79" i="34"/>
  <c r="E80" i="34"/>
  <c r="E81" i="34"/>
  <c r="E82" i="34"/>
  <c r="E83" i="34"/>
  <c r="E84" i="34"/>
  <c r="E85" i="34"/>
  <c r="E86" i="34"/>
  <c r="E87" i="34"/>
  <c r="E88" i="34"/>
  <c r="E89" i="34"/>
  <c r="E90" i="34"/>
  <c r="E91" i="34"/>
  <c r="E92" i="34"/>
  <c r="E93" i="34"/>
  <c r="E94" i="34"/>
  <c r="E95" i="34"/>
  <c r="E96" i="34"/>
  <c r="E97" i="34"/>
  <c r="E98" i="34"/>
  <c r="E99" i="34"/>
  <c r="E100" i="34"/>
  <c r="E101" i="34"/>
  <c r="E102" i="34"/>
  <c r="E103" i="34"/>
  <c r="E104" i="34"/>
  <c r="E105" i="34"/>
  <c r="E106" i="34"/>
  <c r="E107" i="34"/>
  <c r="E108" i="34"/>
  <c r="E109" i="34"/>
  <c r="G1" i="34"/>
  <c r="H1" i="34"/>
  <c r="I1" i="34"/>
  <c r="J1" i="34"/>
  <c r="K1" i="34"/>
  <c r="L1" i="34"/>
  <c r="M1" i="34"/>
  <c r="N1" i="34"/>
  <c r="P1" i="34"/>
  <c r="Q1" i="34"/>
  <c r="R1" i="34"/>
  <c r="T1" i="34"/>
  <c r="U1" i="34"/>
  <c r="V1" i="34"/>
  <c r="W1" i="34"/>
  <c r="X1" i="34"/>
  <c r="Y1" i="34"/>
  <c r="Z1" i="34"/>
  <c r="AA1" i="34"/>
  <c r="AB1" i="34"/>
  <c r="AC1" i="34"/>
  <c r="E1" i="34"/>
  <c r="F1" i="34"/>
  <c r="BK3" i="27" l="1"/>
  <c r="BB51" i="27"/>
  <c r="BB87" i="27"/>
  <c r="BB101" i="27"/>
  <c r="BB18" i="27"/>
  <c r="BB103" i="27"/>
  <c r="BB100" i="27"/>
  <c r="BB13" i="27"/>
  <c r="BB21" i="27"/>
  <c r="BB46" i="27"/>
  <c r="BB56" i="27"/>
  <c r="BB37" i="27"/>
  <c r="BB67" i="27"/>
  <c r="BB11" i="27"/>
  <c r="BB44" i="27"/>
  <c r="BB72" i="27"/>
  <c r="BB84" i="27"/>
  <c r="BB60" i="27"/>
  <c r="BB41" i="27"/>
  <c r="BB108" i="27"/>
  <c r="BB29" i="27"/>
  <c r="BB30" i="27"/>
  <c r="BB48" i="27"/>
  <c r="BB93" i="27"/>
  <c r="BB43" i="27"/>
  <c r="BB77" i="27"/>
  <c r="BB5" i="27"/>
  <c r="BB20" i="27"/>
  <c r="BB65" i="27"/>
  <c r="BB90" i="27"/>
  <c r="BB94" i="27"/>
  <c r="BB86" i="27"/>
  <c r="BB27" i="27"/>
  <c r="BB35" i="27"/>
  <c r="BB53" i="27"/>
  <c r="BB83" i="27"/>
  <c r="BB104" i="27"/>
  <c r="BB80" i="27"/>
  <c r="BB91" i="27"/>
  <c r="BB2" i="27"/>
  <c r="CL2" i="27" s="1"/>
  <c r="BB76" i="27"/>
  <c r="BB79" i="27"/>
  <c r="BB26" i="27"/>
  <c r="BB89" i="27"/>
  <c r="BB42" i="27"/>
  <c r="BB92" i="27"/>
  <c r="BB6" i="27"/>
  <c r="BB55" i="27"/>
  <c r="BK12" i="27"/>
  <c r="BK9" i="27"/>
  <c r="BK97" i="27"/>
  <c r="BK23" i="27"/>
  <c r="BK75" i="27"/>
  <c r="BK20" i="27"/>
  <c r="BK62" i="27"/>
  <c r="BK34" i="27"/>
  <c r="BK86" i="27"/>
  <c r="BK31" i="27"/>
  <c r="BK96" i="27"/>
  <c r="BK52" i="27"/>
  <c r="BK71" i="27"/>
  <c r="BB4" i="27"/>
  <c r="BK2" i="27"/>
  <c r="BB71" i="27"/>
  <c r="BB75" i="27"/>
  <c r="BB19" i="27"/>
  <c r="BB85" i="27"/>
  <c r="BB40" i="27"/>
  <c r="BB78" i="27"/>
  <c r="BB105" i="27"/>
  <c r="BB45" i="27"/>
  <c r="BK90" i="27"/>
  <c r="BK45" i="27"/>
  <c r="BK85" i="27"/>
  <c r="BK99" i="27"/>
  <c r="BK70" i="27"/>
  <c r="BK17" i="27"/>
  <c r="BK59" i="27"/>
  <c r="BK27" i="27"/>
  <c r="BK84" i="27"/>
  <c r="BK21" i="27"/>
  <c r="BK92" i="27"/>
  <c r="BK41" i="27"/>
  <c r="BK61" i="27"/>
  <c r="BB32" i="27"/>
  <c r="BB66" i="27"/>
  <c r="BB70" i="27"/>
  <c r="BB14" i="27"/>
  <c r="BB82" i="27"/>
  <c r="BB24" i="27"/>
  <c r="BB74" i="27"/>
  <c r="BB98" i="27"/>
  <c r="BB38" i="27"/>
  <c r="BK57" i="27"/>
  <c r="BK73" i="27"/>
  <c r="BK93" i="27"/>
  <c r="BK65" i="27"/>
  <c r="BK10" i="27"/>
  <c r="BK51" i="27"/>
  <c r="BK24" i="27"/>
  <c r="BK72" i="27"/>
  <c r="BK18" i="27"/>
  <c r="BK80" i="27"/>
  <c r="BK25" i="27"/>
  <c r="BK38" i="27"/>
  <c r="BB9" i="27"/>
  <c r="BB58" i="27"/>
  <c r="BB64" i="27"/>
  <c r="BB12" i="27"/>
  <c r="BB69" i="27"/>
  <c r="BB17" i="27"/>
  <c r="BB68" i="27"/>
  <c r="BB95" i="27"/>
  <c r="BB36" i="27"/>
  <c r="BK50" i="27"/>
  <c r="BK109" i="27"/>
  <c r="BK58" i="27"/>
  <c r="BK87" i="27"/>
  <c r="BK54" i="27"/>
  <c r="BK7" i="27"/>
  <c r="BK48" i="27"/>
  <c r="BK14" i="27"/>
  <c r="BK69" i="27"/>
  <c r="BK11" i="27"/>
  <c r="BK76" i="27"/>
  <c r="BK15" i="27"/>
  <c r="BK35" i="27"/>
  <c r="BB7" i="27"/>
  <c r="BB49" i="27"/>
  <c r="BB61" i="27"/>
  <c r="BB3" i="27"/>
  <c r="BB63" i="27"/>
  <c r="BB10" i="27"/>
  <c r="BB57" i="27"/>
  <c r="BB88" i="27"/>
  <c r="BB34" i="27"/>
  <c r="BK16" i="27"/>
  <c r="BK107" i="27"/>
  <c r="BK39" i="27"/>
  <c r="BK83" i="27"/>
  <c r="BK47" i="27"/>
  <c r="BK95" i="27"/>
  <c r="BK30" i="27"/>
  <c r="BK108" i="27"/>
  <c r="BK64" i="27"/>
  <c r="BK8" i="27"/>
  <c r="BK74" i="27"/>
  <c r="BK94" i="27"/>
  <c r="BK32" i="27"/>
  <c r="BK4" i="27"/>
  <c r="BK22" i="27"/>
  <c r="BB25" i="27"/>
  <c r="BB39" i="27"/>
  <c r="BB54" i="27"/>
  <c r="BB106" i="27"/>
  <c r="BB59" i="27"/>
  <c r="BB8" i="27"/>
  <c r="BB47" i="27"/>
  <c r="BB81" i="27"/>
  <c r="BB22" i="27"/>
  <c r="BK42" i="27"/>
  <c r="BK105" i="27"/>
  <c r="BK33" i="27"/>
  <c r="BK81" i="27"/>
  <c r="BK46" i="27"/>
  <c r="BK91" i="27"/>
  <c r="BK13" i="27"/>
  <c r="BK106" i="27"/>
  <c r="BK49" i="27"/>
  <c r="BK5" i="27"/>
  <c r="BK66" i="27"/>
  <c r="BK88" i="27"/>
  <c r="BK28" i="27"/>
  <c r="BK82" i="27"/>
  <c r="BB107" i="27"/>
  <c r="BB23" i="27"/>
  <c r="BB33" i="27"/>
  <c r="BB99" i="27"/>
  <c r="BB52" i="27"/>
  <c r="BB109" i="27"/>
  <c r="BB31" i="27"/>
  <c r="BB73" i="27"/>
  <c r="BK68" i="27"/>
  <c r="BK53" i="27"/>
  <c r="BK103" i="27"/>
  <c r="BK29" i="27"/>
  <c r="BK79" i="27"/>
  <c r="BK43" i="27"/>
  <c r="BK89" i="27"/>
  <c r="BK55" i="27"/>
  <c r="BK104" i="27"/>
  <c r="BK44" i="27"/>
  <c r="BK100" i="27"/>
  <c r="BK60" i="27"/>
  <c r="BB97" i="27"/>
  <c r="BB16" i="27"/>
  <c r="BB28" i="27"/>
  <c r="BB96" i="27"/>
  <c r="BB50" i="27"/>
  <c r="BB102" i="27"/>
  <c r="BB15" i="27"/>
  <c r="BB62" i="27"/>
  <c r="BK63" i="27"/>
  <c r="BK19" i="27"/>
  <c r="BK101" i="27"/>
  <c r="BK26" i="27"/>
  <c r="BK77" i="27"/>
  <c r="BK36" i="27"/>
  <c r="BK67" i="27"/>
  <c r="BK40" i="27"/>
  <c r="BK102" i="27"/>
  <c r="BK37" i="27"/>
  <c r="BK98" i="27"/>
  <c r="BK56" i="27"/>
  <c r="BK78" i="27"/>
  <c r="BK6" i="27"/>
  <c r="BA2" i="27"/>
  <c r="BJ45" i="27"/>
  <c r="BJ103" i="27"/>
  <c r="BJ68" i="27"/>
  <c r="BJ47" i="27"/>
  <c r="BJ84" i="27"/>
  <c r="BJ86" i="27"/>
  <c r="BJ57" i="27"/>
  <c r="BA101" i="27"/>
  <c r="BC101" i="27" s="1"/>
  <c r="BA27" i="27"/>
  <c r="BC27" i="27" s="1"/>
  <c r="BA68" i="27"/>
  <c r="BC68" i="27" s="1"/>
  <c r="BJ9" i="27"/>
  <c r="BJ49" i="27"/>
  <c r="BJ87" i="27"/>
  <c r="BA61" i="27"/>
  <c r="BC61" i="27" s="1"/>
  <c r="BA25" i="27"/>
  <c r="BC25" i="27" s="1"/>
  <c r="BA46" i="27"/>
  <c r="BC46" i="27" s="1"/>
  <c r="BA49" i="27"/>
  <c r="BC49" i="27" s="1"/>
  <c r="BA107" i="27"/>
  <c r="BC107" i="27" s="1"/>
  <c r="BA72" i="27"/>
  <c r="BC72" i="27" s="1"/>
  <c r="BA78" i="27"/>
  <c r="BC78" i="27" s="1"/>
  <c r="BJ37" i="27"/>
  <c r="BA100" i="27"/>
  <c r="BC100" i="27" s="1"/>
  <c r="BA80" i="27"/>
  <c r="BC80" i="27" s="1"/>
  <c r="BA42" i="27"/>
  <c r="BC42" i="27" s="1"/>
  <c r="BJ10" i="27"/>
  <c r="BJ26" i="27"/>
  <c r="BJ42" i="27"/>
  <c r="BJ46" i="27"/>
  <c r="BJ48" i="27"/>
  <c r="BA29" i="27"/>
  <c r="BC29" i="27" s="1"/>
  <c r="BJ58" i="27"/>
  <c r="BJ41" i="27"/>
  <c r="BJ79" i="27"/>
  <c r="BJ81" i="27"/>
  <c r="BJ101" i="27"/>
  <c r="BA10" i="27"/>
  <c r="BC10" i="27" s="1"/>
  <c r="BA54" i="27"/>
  <c r="BC54" i="27" s="1"/>
  <c r="BA64" i="27"/>
  <c r="BC64" i="27" s="1"/>
  <c r="BA12" i="27"/>
  <c r="BC12" i="27" s="1"/>
  <c r="BA50" i="27"/>
  <c r="BC50" i="27" s="1"/>
  <c r="BJ25" i="27"/>
  <c r="BJ59" i="27"/>
  <c r="BA65" i="27"/>
  <c r="BC65" i="27" s="1"/>
  <c r="BA5" i="27"/>
  <c r="BC5" i="27" s="1"/>
  <c r="BA6" i="27"/>
  <c r="BC6" i="27" s="1"/>
  <c r="BA40" i="27"/>
  <c r="BC40" i="27" s="1"/>
  <c r="BA47" i="27"/>
  <c r="BC47" i="27" s="1"/>
  <c r="BA59" i="27"/>
  <c r="BC59" i="27" s="1"/>
  <c r="BA103" i="27"/>
  <c r="BC103" i="27" s="1"/>
  <c r="BJ70" i="27"/>
  <c r="BA69" i="27"/>
  <c r="BC69" i="27" s="1"/>
  <c r="BJ29" i="27"/>
  <c r="BJ98" i="27"/>
  <c r="BJ78" i="27"/>
  <c r="BA34" i="27"/>
  <c r="BC34" i="27" s="1"/>
  <c r="BJ12" i="27"/>
  <c r="BJ28" i="27"/>
  <c r="BJ44" i="27"/>
  <c r="BA18" i="27"/>
  <c r="BC18" i="27" s="1"/>
  <c r="BJ30" i="27"/>
  <c r="BJ93" i="27"/>
  <c r="BJ66" i="27"/>
  <c r="BJ62" i="27"/>
  <c r="BJ83" i="27"/>
  <c r="BA11" i="27"/>
  <c r="BC11" i="27" s="1"/>
  <c r="BA105" i="27"/>
  <c r="BC105" i="27" s="1"/>
  <c r="BA28" i="27"/>
  <c r="BC28" i="27" s="1"/>
  <c r="BJ11" i="27"/>
  <c r="BJ19" i="27"/>
  <c r="BA62" i="27"/>
  <c r="BC62" i="27" s="1"/>
  <c r="BA20" i="27"/>
  <c r="BC20" i="27" s="1"/>
  <c r="BA7" i="27"/>
  <c r="BC7" i="27" s="1"/>
  <c r="BA41" i="27"/>
  <c r="BC41" i="27" s="1"/>
  <c r="BA58" i="27"/>
  <c r="BC58" i="27" s="1"/>
  <c r="BA97" i="27"/>
  <c r="BC97" i="27" s="1"/>
  <c r="BA99" i="27"/>
  <c r="BC99" i="27" s="1"/>
  <c r="BJ67" i="27"/>
  <c r="BA4" i="27"/>
  <c r="BC4" i="27" s="1"/>
  <c r="BJ85" i="27"/>
  <c r="BJ108" i="27"/>
  <c r="BJ63" i="27"/>
  <c r="BJ107" i="27"/>
  <c r="BJ75" i="27"/>
  <c r="BA45" i="27"/>
  <c r="BC45" i="27" s="1"/>
  <c r="BA89" i="27"/>
  <c r="BC89" i="27" s="1"/>
  <c r="BA86" i="27"/>
  <c r="BC86" i="27" s="1"/>
  <c r="BA13" i="27"/>
  <c r="BC13" i="27" s="1"/>
  <c r="BJ27" i="27"/>
  <c r="BJ35" i="27"/>
  <c r="BA51" i="27"/>
  <c r="BC51" i="27" s="1"/>
  <c r="BA21" i="27"/>
  <c r="BC21" i="27" s="1"/>
  <c r="BA22" i="27"/>
  <c r="BC22" i="27" s="1"/>
  <c r="BA55" i="27"/>
  <c r="BC55" i="27" s="1"/>
  <c r="BA16" i="27"/>
  <c r="BC16" i="27" s="1"/>
  <c r="BA70" i="27"/>
  <c r="BC70" i="27" s="1"/>
  <c r="BA95" i="27"/>
  <c r="BC95" i="27" s="1"/>
  <c r="BJ21" i="27"/>
  <c r="BA93" i="27"/>
  <c r="BC93" i="27" s="1"/>
  <c r="BJ15" i="27"/>
  <c r="BJ74" i="27"/>
  <c r="BJ80" i="27"/>
  <c r="BJ100" i="27"/>
  <c r="BJ105" i="27"/>
  <c r="BJ104" i="27"/>
  <c r="BA85" i="27"/>
  <c r="BC85" i="27" s="1"/>
  <c r="BA88" i="27"/>
  <c r="BC88" i="27" s="1"/>
  <c r="BA77" i="27"/>
  <c r="BC77" i="27" s="1"/>
  <c r="BJ7" i="27"/>
  <c r="BJ43" i="27"/>
  <c r="BJ51" i="27"/>
  <c r="BA39" i="27"/>
  <c r="BC39" i="27" s="1"/>
  <c r="BA36" i="27"/>
  <c r="BC36" i="27" s="1"/>
  <c r="BA23" i="27"/>
  <c r="BC23" i="27" s="1"/>
  <c r="BA14" i="27"/>
  <c r="BC14" i="27" s="1"/>
  <c r="BA17" i="27"/>
  <c r="BC17" i="27" s="1"/>
  <c r="BA67" i="27"/>
  <c r="BC67" i="27" s="1"/>
  <c r="BA91" i="27"/>
  <c r="BC91" i="27" s="1"/>
  <c r="BJ13" i="27"/>
  <c r="BA87" i="27"/>
  <c r="BC87" i="27" s="1"/>
  <c r="BA108" i="27"/>
  <c r="BC108" i="27" s="1"/>
  <c r="BA92" i="27"/>
  <c r="BC92" i="27" s="1"/>
  <c r="BJ71" i="27"/>
  <c r="BJ2" i="27"/>
  <c r="BJ18" i="27"/>
  <c r="BJ34" i="27"/>
  <c r="BJ50" i="27"/>
  <c r="BJ31" i="27"/>
  <c r="BJ32" i="27"/>
  <c r="BJ109" i="27"/>
  <c r="BJ64" i="27"/>
  <c r="BJ97" i="27"/>
  <c r="BJ76" i="27"/>
  <c r="BJ99" i="27"/>
  <c r="BJ72" i="27"/>
  <c r="BA98" i="27"/>
  <c r="BC98" i="27" s="1"/>
  <c r="BJ23" i="27"/>
  <c r="BJ56" i="27"/>
  <c r="BJ60" i="27"/>
  <c r="BA38" i="27"/>
  <c r="BC38" i="27" s="1"/>
  <c r="BA37" i="27"/>
  <c r="BC37" i="27" s="1"/>
  <c r="BA8" i="27"/>
  <c r="BC8" i="27" s="1"/>
  <c r="BA15" i="27"/>
  <c r="BC15" i="27" s="1"/>
  <c r="BA32" i="27"/>
  <c r="BC32" i="27" s="1"/>
  <c r="BA106" i="27"/>
  <c r="BC106" i="27" s="1"/>
  <c r="BA83" i="27"/>
  <c r="BC83" i="27" s="1"/>
  <c r="BA81" i="27"/>
  <c r="BC81" i="27" s="1"/>
  <c r="BA57" i="27"/>
  <c r="BC57" i="27" s="1"/>
  <c r="BJ106" i="27"/>
  <c r="BJ90" i="27"/>
  <c r="BA66" i="27"/>
  <c r="BC66" i="27" s="1"/>
  <c r="BJ4" i="27"/>
  <c r="BJ20" i="27"/>
  <c r="BJ36" i="27"/>
  <c r="BJ52" i="27"/>
  <c r="BJ14" i="27"/>
  <c r="BA19" i="27"/>
  <c r="BC19" i="27" s="1"/>
  <c r="BA73" i="27"/>
  <c r="BC73" i="27" s="1"/>
  <c r="BJ96" i="27"/>
  <c r="BJ61" i="27"/>
  <c r="BJ95" i="27"/>
  <c r="BJ73" i="27"/>
  <c r="BJ89" i="27"/>
  <c r="BA60" i="27"/>
  <c r="BC60" i="27" s="1"/>
  <c r="BA74" i="27"/>
  <c r="BC74" i="27" s="1"/>
  <c r="BJ39" i="27"/>
  <c r="BJ17" i="27"/>
  <c r="BA90" i="27"/>
  <c r="BC90" i="27" s="1"/>
  <c r="BJ5" i="27"/>
  <c r="BA52" i="27"/>
  <c r="BC52" i="27" s="1"/>
  <c r="BA9" i="27"/>
  <c r="BC9" i="27" s="1"/>
  <c r="BA30" i="27"/>
  <c r="BC30" i="27" s="1"/>
  <c r="BA33" i="27"/>
  <c r="BC33" i="27" s="1"/>
  <c r="BA102" i="27"/>
  <c r="BC102" i="27" s="1"/>
  <c r="BA79" i="27"/>
  <c r="BC79" i="27" s="1"/>
  <c r="BA56" i="27"/>
  <c r="BC56" i="27" s="1"/>
  <c r="BA94" i="27"/>
  <c r="BC94" i="27" s="1"/>
  <c r="BA104" i="27"/>
  <c r="BC104" i="27" s="1"/>
  <c r="BA84" i="27"/>
  <c r="BC84" i="27" s="1"/>
  <c r="BA44" i="27"/>
  <c r="BC44" i="27" s="1"/>
  <c r="BJ6" i="27"/>
  <c r="BJ22" i="27"/>
  <c r="BJ38" i="27"/>
  <c r="BJ3" i="27"/>
  <c r="BA96" i="27"/>
  <c r="BC96" i="27" s="1"/>
  <c r="BJ94" i="27"/>
  <c r="BJ77" i="27"/>
  <c r="BJ91" i="27"/>
  <c r="BJ55" i="27"/>
  <c r="BJ92" i="27"/>
  <c r="BJ69" i="27"/>
  <c r="BJ65" i="27"/>
  <c r="BA35" i="27"/>
  <c r="BC35" i="27" s="1"/>
  <c r="BA109" i="27"/>
  <c r="BC109" i="27" s="1"/>
  <c r="BJ53" i="27"/>
  <c r="BA71" i="27"/>
  <c r="BC71" i="27" s="1"/>
  <c r="BJ54" i="27"/>
  <c r="BJ33" i="27"/>
  <c r="BJ88" i="27"/>
  <c r="BA53" i="27"/>
  <c r="BC53" i="27" s="1"/>
  <c r="BA24" i="27"/>
  <c r="BC24" i="27" s="1"/>
  <c r="BA31" i="27"/>
  <c r="BC31" i="27" s="1"/>
  <c r="BA48" i="27"/>
  <c r="BC48" i="27" s="1"/>
  <c r="BA82" i="27"/>
  <c r="BC82" i="27" s="1"/>
  <c r="BA75" i="27"/>
  <c r="BC75" i="27" s="1"/>
  <c r="BA26" i="27"/>
  <c r="BC26" i="27" s="1"/>
  <c r="BA63" i="27"/>
  <c r="BC63" i="27" s="1"/>
  <c r="BJ102" i="27"/>
  <c r="BJ82" i="27"/>
  <c r="BA43" i="27"/>
  <c r="BC43" i="27" s="1"/>
  <c r="BJ8" i="27"/>
  <c r="BJ24" i="27"/>
  <c r="BJ40" i="27"/>
  <c r="BA3" i="27"/>
  <c r="BC3" i="27" s="1"/>
  <c r="BA76" i="27"/>
  <c r="BC76" i="27" s="1"/>
  <c r="BJ16" i="27"/>
  <c r="S5" i="27"/>
  <c r="AD1" i="27"/>
  <c r="AJ1" i="27" s="1"/>
  <c r="S82" i="27"/>
  <c r="S3" i="27"/>
  <c r="S77" i="27"/>
  <c r="S72" i="27"/>
  <c r="S67" i="27"/>
  <c r="S23" i="27"/>
  <c r="S109" i="27"/>
  <c r="S18" i="27"/>
  <c r="S101" i="27"/>
  <c r="S13" i="27"/>
  <c r="S87" i="27"/>
  <c r="S8" i="27"/>
  <c r="S104" i="27"/>
  <c r="S96" i="27"/>
  <c r="S79" i="27"/>
  <c r="S74" i="27"/>
  <c r="S69" i="27"/>
  <c r="S64" i="27"/>
  <c r="S59" i="27"/>
  <c r="S15" i="27"/>
  <c r="S10" i="27"/>
  <c r="S4" i="27"/>
  <c r="S12" i="27"/>
  <c r="S20" i="27"/>
  <c r="S28" i="27"/>
  <c r="S36" i="27"/>
  <c r="S44" i="27"/>
  <c r="S52" i="27"/>
  <c r="S60" i="27"/>
  <c r="S68" i="27"/>
  <c r="S76" i="27"/>
  <c r="S84" i="27"/>
  <c r="S92" i="27"/>
  <c r="S9" i="27"/>
  <c r="S17" i="27"/>
  <c r="S25" i="27"/>
  <c r="S33" i="27"/>
  <c r="S41" i="27"/>
  <c r="S49" i="27"/>
  <c r="S57" i="27"/>
  <c r="S65" i="27"/>
  <c r="S73" i="27"/>
  <c r="S81" i="27"/>
  <c r="S89" i="27"/>
  <c r="S6" i="27"/>
  <c r="S14" i="27"/>
  <c r="S22" i="27"/>
  <c r="S30" i="27"/>
  <c r="S38" i="27"/>
  <c r="S46" i="27"/>
  <c r="S54" i="27"/>
  <c r="S62" i="27"/>
  <c r="S70" i="27"/>
  <c r="S78" i="27"/>
  <c r="S86" i="27"/>
  <c r="S94" i="27"/>
  <c r="S107" i="27"/>
  <c r="S99" i="27"/>
  <c r="S71" i="27"/>
  <c r="S66" i="27"/>
  <c r="S61" i="27"/>
  <c r="S56" i="27"/>
  <c r="S51" i="27"/>
  <c r="S7" i="27"/>
  <c r="S102" i="27"/>
  <c r="S63" i="27"/>
  <c r="S58" i="27"/>
  <c r="S53" i="27"/>
  <c r="S48" i="27"/>
  <c r="S43" i="27"/>
  <c r="S2" i="27"/>
  <c r="AP2" i="27" s="1"/>
  <c r="S105" i="27"/>
  <c r="S97" i="27"/>
  <c r="S55" i="27"/>
  <c r="S50" i="27"/>
  <c r="S45" i="27"/>
  <c r="S40" i="27"/>
  <c r="S35" i="27"/>
  <c r="S108" i="27"/>
  <c r="S100" i="27"/>
  <c r="S91" i="27"/>
  <c r="S47" i="27"/>
  <c r="S42" i="27"/>
  <c r="S37" i="27"/>
  <c r="S32" i="27"/>
  <c r="S27" i="27"/>
  <c r="S103" i="27"/>
  <c r="S95" i="27"/>
  <c r="S93" i="27"/>
  <c r="S88" i="27"/>
  <c r="S83" i="27"/>
  <c r="S39" i="27"/>
  <c r="S34" i="27"/>
  <c r="S29" i="27"/>
  <c r="S24" i="27"/>
  <c r="S19" i="27"/>
  <c r="S106" i="27"/>
  <c r="S98" i="27"/>
  <c r="S90" i="27"/>
  <c r="S85" i="27"/>
  <c r="S80" i="27"/>
  <c r="S75" i="27"/>
  <c r="S31" i="27"/>
  <c r="S26" i="27"/>
  <c r="S21" i="27"/>
  <c r="S16" i="27"/>
  <c r="S11" i="27"/>
  <c r="M1" i="27"/>
  <c r="X1" i="27"/>
  <c r="R1" i="27"/>
  <c r="AC1" i="27" s="1"/>
  <c r="AI1" i="27" s="1"/>
  <c r="W1" i="27"/>
  <c r="Q1" i="27"/>
  <c r="AB1" i="27" s="1"/>
  <c r="AH1" i="27" s="1"/>
  <c r="V1" i="27"/>
  <c r="P1" i="27"/>
  <c r="AA1" i="27" s="1"/>
  <c r="AG1" i="27" s="1"/>
  <c r="U1" i="27"/>
  <c r="O1" i="27"/>
  <c r="Z1" i="27" s="1"/>
  <c r="AF1" i="27" s="1"/>
  <c r="T1" i="27"/>
  <c r="T2" i="27" s="1"/>
  <c r="O12" i="14"/>
  <c r="O13" i="14"/>
  <c r="O14" i="14"/>
  <c r="O15" i="14"/>
  <c r="O11" i="14"/>
  <c r="CK2" i="27" l="1"/>
  <c r="CK3" i="27" s="1"/>
  <c r="BC2" i="27"/>
  <c r="AP3" i="27"/>
  <c r="AP4" i="27" s="1"/>
  <c r="AP5" i="27" s="1"/>
  <c r="AP6" i="27" s="1"/>
  <c r="AP7" i="27" s="1"/>
  <c r="CL3" i="27"/>
  <c r="CL4" i="27" s="1"/>
  <c r="CL5" i="27" s="1"/>
  <c r="CL6" i="27" s="1"/>
  <c r="CL7" i="27" s="1"/>
  <c r="CL8" i="27" s="1"/>
  <c r="CL9" i="27" s="1"/>
  <c r="CL10" i="27" s="1"/>
  <c r="CL11" i="27" s="1"/>
  <c r="CL12" i="27" s="1"/>
  <c r="CL13" i="27" s="1"/>
  <c r="CL14" i="27" s="1"/>
  <c r="CL15" i="27" s="1"/>
  <c r="CL16" i="27" s="1"/>
  <c r="CL17" i="27" s="1"/>
  <c r="CL18" i="27" s="1"/>
  <c r="CL19" i="27" s="1"/>
  <c r="CL20" i="27" s="1"/>
  <c r="CL21" i="27" s="1"/>
  <c r="CL22" i="27" s="1"/>
  <c r="CL23" i="27" s="1"/>
  <c r="CL24" i="27" s="1"/>
  <c r="CL25" i="27" s="1"/>
  <c r="CL26" i="27" s="1"/>
  <c r="CL27" i="27" s="1"/>
  <c r="CL28" i="27" s="1"/>
  <c r="CL29" i="27" s="1"/>
  <c r="CL30" i="27" s="1"/>
  <c r="CL31" i="27" s="1"/>
  <c r="CL32" i="27" s="1"/>
  <c r="CL33" i="27" s="1"/>
  <c r="CL34" i="27" s="1"/>
  <c r="CL35" i="27" s="1"/>
  <c r="CL36" i="27" s="1"/>
  <c r="CL37" i="27" s="1"/>
  <c r="CL38" i="27" s="1"/>
  <c r="CL39" i="27" s="1"/>
  <c r="CL40" i="27" s="1"/>
  <c r="CL41" i="27" s="1"/>
  <c r="CL42" i="27" s="1"/>
  <c r="CL43" i="27" s="1"/>
  <c r="CL44" i="27" s="1"/>
  <c r="CL45" i="27" s="1"/>
  <c r="CL46" i="27" s="1"/>
  <c r="CL47" i="27" s="1"/>
  <c r="CL48" i="27" s="1"/>
  <c r="CL49" i="27" s="1"/>
  <c r="CL50" i="27" s="1"/>
  <c r="CL51" i="27" s="1"/>
  <c r="CL52" i="27" s="1"/>
  <c r="CL53" i="27" s="1"/>
  <c r="CL54" i="27" s="1"/>
  <c r="CL55" i="27" s="1"/>
  <c r="CL56" i="27" s="1"/>
  <c r="CL57" i="27" s="1"/>
  <c r="CL58" i="27" s="1"/>
  <c r="CL59" i="27" s="1"/>
  <c r="CL60" i="27" s="1"/>
  <c r="CL61" i="27" s="1"/>
  <c r="CL62" i="27" s="1"/>
  <c r="CL63" i="27" s="1"/>
  <c r="CL64" i="27" s="1"/>
  <c r="CL65" i="27" s="1"/>
  <c r="CL66" i="27" s="1"/>
  <c r="CL67" i="27" s="1"/>
  <c r="CL68" i="27" s="1"/>
  <c r="CL69" i="27" s="1"/>
  <c r="CL70" i="27" s="1"/>
  <c r="CL71" i="27" s="1"/>
  <c r="CL72" i="27" s="1"/>
  <c r="CL73" i="27" s="1"/>
  <c r="CL74" i="27" s="1"/>
  <c r="CL75" i="27" s="1"/>
  <c r="CL76" i="27" s="1"/>
  <c r="CL77" i="27" s="1"/>
  <c r="CL78" i="27" s="1"/>
  <c r="CL79" i="27" s="1"/>
  <c r="CL80" i="27" s="1"/>
  <c r="CL81" i="27" s="1"/>
  <c r="CL82" i="27" s="1"/>
  <c r="CL83" i="27" s="1"/>
  <c r="CL84" i="27" s="1"/>
  <c r="CL85" i="27" s="1"/>
  <c r="CL86" i="27" s="1"/>
  <c r="CL87" i="27" s="1"/>
  <c r="CL88" i="27" s="1"/>
  <c r="CL89" i="27" s="1"/>
  <c r="CL90" i="27" s="1"/>
  <c r="CL91" i="27" s="1"/>
  <c r="CL92" i="27" s="1"/>
  <c r="CL93" i="27" s="1"/>
  <c r="CL94" i="27" s="1"/>
  <c r="CL95" i="27" s="1"/>
  <c r="CL96" i="27" s="1"/>
  <c r="CL97" i="27" s="1"/>
  <c r="CL98" i="27" s="1"/>
  <c r="CL99" i="27" s="1"/>
  <c r="CL100" i="27" s="1"/>
  <c r="CL101" i="27" s="1"/>
  <c r="CL102" i="27" s="1"/>
  <c r="CL103" i="27" s="1"/>
  <c r="CL104" i="27" s="1"/>
  <c r="CL105" i="27" s="1"/>
  <c r="CL106" i="27" s="1"/>
  <c r="CL107" i="27" s="1"/>
  <c r="CL108" i="27" s="1"/>
  <c r="CL109" i="27" s="1"/>
  <c r="P3" i="27"/>
  <c r="P11" i="27"/>
  <c r="P19" i="27"/>
  <c r="P27" i="27"/>
  <c r="P35" i="27"/>
  <c r="P43" i="27"/>
  <c r="P51" i="27"/>
  <c r="P59" i="27"/>
  <c r="P67" i="27"/>
  <c r="P75" i="27"/>
  <c r="P83" i="27"/>
  <c r="P91" i="27"/>
  <c r="P8" i="27"/>
  <c r="P16" i="27"/>
  <c r="P24" i="27"/>
  <c r="P32" i="27"/>
  <c r="P40" i="27"/>
  <c r="P48" i="27"/>
  <c r="P56" i="27"/>
  <c r="P64" i="27"/>
  <c r="P72" i="27"/>
  <c r="P80" i="27"/>
  <c r="P88" i="27"/>
  <c r="P5" i="27"/>
  <c r="P13" i="27"/>
  <c r="P21" i="27"/>
  <c r="P29" i="27"/>
  <c r="P37" i="27"/>
  <c r="P45" i="27"/>
  <c r="P53" i="27"/>
  <c r="P61" i="27"/>
  <c r="P69" i="27"/>
  <c r="P77" i="27"/>
  <c r="P85" i="27"/>
  <c r="P93" i="27"/>
  <c r="P6" i="27"/>
  <c r="P50" i="27"/>
  <c r="P55" i="27"/>
  <c r="P60" i="27"/>
  <c r="P65" i="27"/>
  <c r="P70" i="27"/>
  <c r="P97" i="27"/>
  <c r="P105" i="27"/>
  <c r="P2" i="27"/>
  <c r="AM2" i="27" s="1"/>
  <c r="AM3" i="27" s="1"/>
  <c r="P4" i="27"/>
  <c r="P9" i="27"/>
  <c r="P14" i="27"/>
  <c r="P58" i="27"/>
  <c r="P63" i="27"/>
  <c r="P68" i="27"/>
  <c r="P73" i="27"/>
  <c r="P78" i="27"/>
  <c r="P102" i="27"/>
  <c r="P7" i="27"/>
  <c r="P12" i="27"/>
  <c r="P17" i="27"/>
  <c r="P22" i="27"/>
  <c r="P66" i="27"/>
  <c r="P71" i="27"/>
  <c r="P76" i="27"/>
  <c r="P81" i="27"/>
  <c r="P86" i="27"/>
  <c r="P99" i="27"/>
  <c r="P107" i="27"/>
  <c r="P10" i="27"/>
  <c r="P15" i="27"/>
  <c r="P20" i="27"/>
  <c r="P25" i="27"/>
  <c r="P30" i="27"/>
  <c r="P74" i="27"/>
  <c r="P79" i="27"/>
  <c r="P84" i="27"/>
  <c r="P89" i="27"/>
  <c r="P94" i="27"/>
  <c r="P96" i="27"/>
  <c r="P104" i="27"/>
  <c r="P18" i="27"/>
  <c r="P23" i="27"/>
  <c r="P28" i="27"/>
  <c r="P33" i="27"/>
  <c r="P38" i="27"/>
  <c r="P82" i="27"/>
  <c r="P87" i="27"/>
  <c r="P92" i="27"/>
  <c r="P101" i="27"/>
  <c r="P109" i="27"/>
  <c r="P26" i="27"/>
  <c r="P31" i="27"/>
  <c r="P36" i="27"/>
  <c r="P41" i="27"/>
  <c r="P46" i="27"/>
  <c r="P90" i="27"/>
  <c r="P98" i="27"/>
  <c r="P106" i="27"/>
  <c r="P34" i="27"/>
  <c r="P39" i="27"/>
  <c r="P44" i="27"/>
  <c r="P49" i="27"/>
  <c r="P54" i="27"/>
  <c r="P95" i="27"/>
  <c r="P103" i="27"/>
  <c r="P42" i="27"/>
  <c r="P47" i="27"/>
  <c r="P52" i="27"/>
  <c r="P57" i="27"/>
  <c r="P62" i="27"/>
  <c r="P100" i="27"/>
  <c r="P108" i="27"/>
  <c r="R9" i="27"/>
  <c r="R17" i="27"/>
  <c r="R25" i="27"/>
  <c r="R33" i="27"/>
  <c r="R41" i="27"/>
  <c r="R49" i="27"/>
  <c r="R57" i="27"/>
  <c r="R65" i="27"/>
  <c r="R73" i="27"/>
  <c r="R81" i="27"/>
  <c r="R89" i="27"/>
  <c r="R6" i="27"/>
  <c r="R14" i="27"/>
  <c r="R22" i="27"/>
  <c r="R30" i="27"/>
  <c r="R38" i="27"/>
  <c r="R46" i="27"/>
  <c r="R54" i="27"/>
  <c r="R62" i="27"/>
  <c r="R70" i="27"/>
  <c r="R78" i="27"/>
  <c r="R86" i="27"/>
  <c r="R94" i="27"/>
  <c r="R3" i="27"/>
  <c r="R11" i="27"/>
  <c r="R19" i="27"/>
  <c r="R27" i="27"/>
  <c r="R35" i="27"/>
  <c r="R43" i="27"/>
  <c r="R51" i="27"/>
  <c r="R59" i="27"/>
  <c r="R67" i="27"/>
  <c r="R75" i="27"/>
  <c r="R83" i="27"/>
  <c r="R91" i="27"/>
  <c r="R24" i="27"/>
  <c r="R29" i="27"/>
  <c r="R34" i="27"/>
  <c r="R39" i="27"/>
  <c r="R44" i="27"/>
  <c r="R88" i="27"/>
  <c r="R93" i="27"/>
  <c r="R95" i="27"/>
  <c r="R103" i="27"/>
  <c r="R32" i="27"/>
  <c r="R37" i="27"/>
  <c r="R42" i="27"/>
  <c r="R47" i="27"/>
  <c r="R52" i="27"/>
  <c r="R100" i="27"/>
  <c r="R108" i="27"/>
  <c r="R40" i="27"/>
  <c r="R45" i="27"/>
  <c r="R50" i="27"/>
  <c r="R55" i="27"/>
  <c r="R60" i="27"/>
  <c r="R97" i="27"/>
  <c r="R105" i="27"/>
  <c r="R2" i="27"/>
  <c r="AO2" i="27" s="1"/>
  <c r="R4" i="27"/>
  <c r="R48" i="27"/>
  <c r="R53" i="27"/>
  <c r="R58" i="27"/>
  <c r="R63" i="27"/>
  <c r="R68" i="27"/>
  <c r="R102" i="27"/>
  <c r="R7" i="27"/>
  <c r="R12" i="27"/>
  <c r="R56" i="27"/>
  <c r="R61" i="27"/>
  <c r="R66" i="27"/>
  <c r="R71" i="27"/>
  <c r="R76" i="27"/>
  <c r="R99" i="27"/>
  <c r="R107" i="27"/>
  <c r="R5" i="27"/>
  <c r="R10" i="27"/>
  <c r="R15" i="27"/>
  <c r="R20" i="27"/>
  <c r="R64" i="27"/>
  <c r="R69" i="27"/>
  <c r="R74" i="27"/>
  <c r="R79" i="27"/>
  <c r="R84" i="27"/>
  <c r="R96" i="27"/>
  <c r="R104" i="27"/>
  <c r="R8" i="27"/>
  <c r="R13" i="27"/>
  <c r="R18" i="27"/>
  <c r="R23" i="27"/>
  <c r="R28" i="27"/>
  <c r="R72" i="27"/>
  <c r="R77" i="27"/>
  <c r="R82" i="27"/>
  <c r="R87" i="27"/>
  <c r="R92" i="27"/>
  <c r="R101" i="27"/>
  <c r="R109" i="27"/>
  <c r="R16" i="27"/>
  <c r="R21" i="27"/>
  <c r="R26" i="27"/>
  <c r="R31" i="27"/>
  <c r="R36" i="27"/>
  <c r="R80" i="27"/>
  <c r="R85" i="27"/>
  <c r="R90" i="27"/>
  <c r="R98" i="27"/>
  <c r="R106" i="27"/>
  <c r="Q6" i="27"/>
  <c r="Q14" i="27"/>
  <c r="Q22" i="27"/>
  <c r="Q30" i="27"/>
  <c r="Q38" i="27"/>
  <c r="Q46" i="27"/>
  <c r="Q54" i="27"/>
  <c r="Q62" i="27"/>
  <c r="Q70" i="27"/>
  <c r="Q78" i="27"/>
  <c r="Q86" i="27"/>
  <c r="Q3" i="27"/>
  <c r="Q11" i="27"/>
  <c r="Q19" i="27"/>
  <c r="Q27" i="27"/>
  <c r="Q35" i="27"/>
  <c r="Q43" i="27"/>
  <c r="Q51" i="27"/>
  <c r="Q59" i="27"/>
  <c r="Q67" i="27"/>
  <c r="Q75" i="27"/>
  <c r="Q83" i="27"/>
  <c r="Q91" i="27"/>
  <c r="Q8" i="27"/>
  <c r="Q16" i="27"/>
  <c r="Q24" i="27"/>
  <c r="Q32" i="27"/>
  <c r="Q40" i="27"/>
  <c r="Q48" i="27"/>
  <c r="Q56" i="27"/>
  <c r="Q64" i="27"/>
  <c r="Q72" i="27"/>
  <c r="Q80" i="27"/>
  <c r="Q88" i="27"/>
  <c r="Q37" i="27"/>
  <c r="Q42" i="27"/>
  <c r="Q47" i="27"/>
  <c r="Q52" i="27"/>
  <c r="Q57" i="27"/>
  <c r="Q100" i="27"/>
  <c r="Q108" i="27"/>
  <c r="Q45" i="27"/>
  <c r="Q50" i="27"/>
  <c r="Q55" i="27"/>
  <c r="Q60" i="27"/>
  <c r="Q65" i="27"/>
  <c r="Q97" i="27"/>
  <c r="Q105" i="27"/>
  <c r="Q2" i="27"/>
  <c r="AN2" i="27" s="1"/>
  <c r="Q4" i="27"/>
  <c r="Q9" i="27"/>
  <c r="Q53" i="27"/>
  <c r="Q58" i="27"/>
  <c r="Q63" i="27"/>
  <c r="Q68" i="27"/>
  <c r="Q73" i="27"/>
  <c r="Q102" i="27"/>
  <c r="Q7" i="27"/>
  <c r="Q12" i="27"/>
  <c r="Q17" i="27"/>
  <c r="Q61" i="27"/>
  <c r="Q66" i="27"/>
  <c r="Q71" i="27"/>
  <c r="Q76" i="27"/>
  <c r="Q81" i="27"/>
  <c r="Q99" i="27"/>
  <c r="Q107" i="27"/>
  <c r="Q5" i="27"/>
  <c r="Q10" i="27"/>
  <c r="Q15" i="27"/>
  <c r="Q20" i="27"/>
  <c r="Q25" i="27"/>
  <c r="Q69" i="27"/>
  <c r="Q74" i="27"/>
  <c r="Q79" i="27"/>
  <c r="Q84" i="27"/>
  <c r="Q89" i="27"/>
  <c r="Q94" i="27"/>
  <c r="Q96" i="27"/>
  <c r="Q104" i="27"/>
  <c r="Q13" i="27"/>
  <c r="Q18" i="27"/>
  <c r="Q23" i="27"/>
  <c r="Q28" i="27"/>
  <c r="Q33" i="27"/>
  <c r="Q77" i="27"/>
  <c r="Q82" i="27"/>
  <c r="Q87" i="27"/>
  <c r="Q92" i="27"/>
  <c r="Q101" i="27"/>
  <c r="Q109" i="27"/>
  <c r="Q21" i="27"/>
  <c r="Q26" i="27"/>
  <c r="Q31" i="27"/>
  <c r="Q36" i="27"/>
  <c r="Q41" i="27"/>
  <c r="Q85" i="27"/>
  <c r="Q90" i="27"/>
  <c r="Q98" i="27"/>
  <c r="Q106" i="27"/>
  <c r="Q29" i="27"/>
  <c r="Q34" i="27"/>
  <c r="Q39" i="27"/>
  <c r="Q44" i="27"/>
  <c r="Q49" i="27"/>
  <c r="Q93" i="27"/>
  <c r="Q95" i="27"/>
  <c r="Q103" i="27"/>
  <c r="O8" i="27"/>
  <c r="O16" i="27"/>
  <c r="O24" i="27"/>
  <c r="O32" i="27"/>
  <c r="O40" i="27"/>
  <c r="O48" i="27"/>
  <c r="O56" i="27"/>
  <c r="O64" i="27"/>
  <c r="O72" i="27"/>
  <c r="O80" i="27"/>
  <c r="O88" i="27"/>
  <c r="O5" i="27"/>
  <c r="O13" i="27"/>
  <c r="O21" i="27"/>
  <c r="O29" i="27"/>
  <c r="O37" i="27"/>
  <c r="O45" i="27"/>
  <c r="O53" i="27"/>
  <c r="O61" i="27"/>
  <c r="O69" i="27"/>
  <c r="O77" i="27"/>
  <c r="O85" i="27"/>
  <c r="O93" i="27"/>
  <c r="O10" i="27"/>
  <c r="O18" i="27"/>
  <c r="O26" i="27"/>
  <c r="O34" i="27"/>
  <c r="O42" i="27"/>
  <c r="O50" i="27"/>
  <c r="O58" i="27"/>
  <c r="O66" i="27"/>
  <c r="O74" i="27"/>
  <c r="O82" i="27"/>
  <c r="O90" i="27"/>
  <c r="O4" i="27"/>
  <c r="O9" i="27"/>
  <c r="O14" i="27"/>
  <c r="O19" i="27"/>
  <c r="O63" i="27"/>
  <c r="O68" i="27"/>
  <c r="O73" i="27"/>
  <c r="O78" i="27"/>
  <c r="O83" i="27"/>
  <c r="O102" i="27"/>
  <c r="O7" i="27"/>
  <c r="O12" i="27"/>
  <c r="O17" i="27"/>
  <c r="O22" i="27"/>
  <c r="O27" i="27"/>
  <c r="O71" i="27"/>
  <c r="O76" i="27"/>
  <c r="O81" i="27"/>
  <c r="O86" i="27"/>
  <c r="O91" i="27"/>
  <c r="O99" i="27"/>
  <c r="O107" i="27"/>
  <c r="O15" i="27"/>
  <c r="O20" i="27"/>
  <c r="O25" i="27"/>
  <c r="O30" i="27"/>
  <c r="O35" i="27"/>
  <c r="O79" i="27"/>
  <c r="O84" i="27"/>
  <c r="O89" i="27"/>
  <c r="O94" i="27"/>
  <c r="O96" i="27"/>
  <c r="O104" i="27"/>
  <c r="O23" i="27"/>
  <c r="O28" i="27"/>
  <c r="O33" i="27"/>
  <c r="O38" i="27"/>
  <c r="O43" i="27"/>
  <c r="O87" i="27"/>
  <c r="O92" i="27"/>
  <c r="O101" i="27"/>
  <c r="O109" i="27"/>
  <c r="O31" i="27"/>
  <c r="O36" i="27"/>
  <c r="O41" i="27"/>
  <c r="O46" i="27"/>
  <c r="O51" i="27"/>
  <c r="O98" i="27"/>
  <c r="O106" i="27"/>
  <c r="O2" i="27"/>
  <c r="AL2" i="27" s="1"/>
  <c r="AV2" i="27" s="1"/>
  <c r="O39" i="27"/>
  <c r="O44" i="27"/>
  <c r="O49" i="27"/>
  <c r="O54" i="27"/>
  <c r="O59" i="27"/>
  <c r="O95" i="27"/>
  <c r="O103" i="27"/>
  <c r="O3" i="27"/>
  <c r="O47" i="27"/>
  <c r="O52" i="27"/>
  <c r="O57" i="27"/>
  <c r="O62" i="27"/>
  <c r="O67" i="27"/>
  <c r="O100" i="27"/>
  <c r="O108" i="27"/>
  <c r="O6" i="27"/>
  <c r="O11" i="27"/>
  <c r="O55" i="27"/>
  <c r="O60" i="27"/>
  <c r="O65" i="27"/>
  <c r="O70" i="27"/>
  <c r="O75" i="27"/>
  <c r="O97" i="27"/>
  <c r="O105" i="27"/>
  <c r="J1" i="27"/>
  <c r="L1" i="27"/>
  <c r="K1" i="27"/>
  <c r="I1" i="27"/>
  <c r="AO3" i="27" l="1"/>
  <c r="AO4" i="27" s="1"/>
  <c r="AO5" i="27" s="1"/>
  <c r="AO6" i="27" s="1"/>
  <c r="AO7" i="27" s="1"/>
  <c r="AO8" i="27" s="1"/>
  <c r="AO9" i="27" s="1"/>
  <c r="AO10" i="27" s="1"/>
  <c r="AO11" i="27" s="1"/>
  <c r="AO12" i="27" s="1"/>
  <c r="AO13" i="27" s="1"/>
  <c r="AO14" i="27" s="1"/>
  <c r="AO15" i="27" s="1"/>
  <c r="AO16" i="27" s="1"/>
  <c r="AO17" i="27" s="1"/>
  <c r="AO18" i="27" s="1"/>
  <c r="AO19" i="27" s="1"/>
  <c r="AO20" i="27" s="1"/>
  <c r="AO21" i="27" s="1"/>
  <c r="AO22" i="27" s="1"/>
  <c r="AO23" i="27" s="1"/>
  <c r="AO24" i="27" s="1"/>
  <c r="AO25" i="27" s="1"/>
  <c r="AO26" i="27" s="1"/>
  <c r="AO27" i="27" s="1"/>
  <c r="AO28" i="27" s="1"/>
  <c r="AO29" i="27" s="1"/>
  <c r="AO30" i="27" s="1"/>
  <c r="AO31" i="27" s="1"/>
  <c r="AO32" i="27" s="1"/>
  <c r="AO33" i="27" s="1"/>
  <c r="AO34" i="27" s="1"/>
  <c r="AO35" i="27" s="1"/>
  <c r="AO36" i="27" s="1"/>
  <c r="AO37" i="27" s="1"/>
  <c r="AO38" i="27" s="1"/>
  <c r="AO39" i="27" s="1"/>
  <c r="AO40" i="27" s="1"/>
  <c r="AO41" i="27" s="1"/>
  <c r="AO42" i="27" s="1"/>
  <c r="AO43" i="27" s="1"/>
  <c r="AO44" i="27" s="1"/>
  <c r="AO45" i="27" s="1"/>
  <c r="AO46" i="27" s="1"/>
  <c r="AO47" i="27" s="1"/>
  <c r="AO48" i="27" s="1"/>
  <c r="AO49" i="27" s="1"/>
  <c r="AO50" i="27" s="1"/>
  <c r="AO51" i="27" s="1"/>
  <c r="AO52" i="27" s="1"/>
  <c r="AO53" i="27" s="1"/>
  <c r="AO54" i="27" s="1"/>
  <c r="AO55" i="27" s="1"/>
  <c r="AO56" i="27" s="1"/>
  <c r="AO57" i="27" s="1"/>
  <c r="AO58" i="27" s="1"/>
  <c r="AO59" i="27" s="1"/>
  <c r="AO60" i="27" s="1"/>
  <c r="AO61" i="27" s="1"/>
  <c r="AO62" i="27" s="1"/>
  <c r="AO63" i="27" s="1"/>
  <c r="AO64" i="27" s="1"/>
  <c r="AO65" i="27" s="1"/>
  <c r="AO66" i="27" s="1"/>
  <c r="AO67" i="27" s="1"/>
  <c r="AO68" i="27" s="1"/>
  <c r="AO69" i="27" s="1"/>
  <c r="AO70" i="27" s="1"/>
  <c r="AO71" i="27" s="1"/>
  <c r="AO72" i="27" s="1"/>
  <c r="AO73" i="27" s="1"/>
  <c r="AO74" i="27" s="1"/>
  <c r="AO75" i="27" s="1"/>
  <c r="AO76" i="27" s="1"/>
  <c r="AO77" i="27" s="1"/>
  <c r="AO78" i="27" s="1"/>
  <c r="AO79" i="27" s="1"/>
  <c r="AO80" i="27" s="1"/>
  <c r="AO81" i="27" s="1"/>
  <c r="AO82" i="27" s="1"/>
  <c r="AO83" i="27" s="1"/>
  <c r="AO84" i="27" s="1"/>
  <c r="AO85" i="27" s="1"/>
  <c r="AO86" i="27" s="1"/>
  <c r="AO87" i="27" s="1"/>
  <c r="AO88" i="27" s="1"/>
  <c r="AO89" i="27" s="1"/>
  <c r="AO90" i="27" s="1"/>
  <c r="AO91" i="27" s="1"/>
  <c r="AO92" i="27" s="1"/>
  <c r="AO93" i="27" s="1"/>
  <c r="AO94" i="27" s="1"/>
  <c r="AO95" i="27" s="1"/>
  <c r="AO96" i="27" s="1"/>
  <c r="AO97" i="27" s="1"/>
  <c r="AO98" i="27" s="1"/>
  <c r="AO99" i="27" s="1"/>
  <c r="AO100" i="27" s="1"/>
  <c r="AO101" i="27" s="1"/>
  <c r="AO102" i="27" s="1"/>
  <c r="AO103" i="27" s="1"/>
  <c r="AO104" i="27" s="1"/>
  <c r="AO105" i="27" s="1"/>
  <c r="AO106" i="27" s="1"/>
  <c r="AO107" i="27" s="1"/>
  <c r="AO108" i="27" s="1"/>
  <c r="AO109" i="27" s="1"/>
  <c r="CO2" i="27"/>
  <c r="CN2" i="27"/>
  <c r="CP2" i="27"/>
  <c r="CQ2" i="27" s="1"/>
  <c r="AN3" i="27"/>
  <c r="AR2" i="27"/>
  <c r="AW2" i="27"/>
  <c r="AX2" i="27" s="1"/>
  <c r="AP8" i="27"/>
  <c r="AP9" i="27" s="1"/>
  <c r="AP10" i="27" s="1"/>
  <c r="AP11" i="27" s="1"/>
  <c r="AP12" i="27" s="1"/>
  <c r="AP13" i="27" s="1"/>
  <c r="AP14" i="27" s="1"/>
  <c r="AP15" i="27" s="1"/>
  <c r="AP16" i="27" s="1"/>
  <c r="AP17" i="27" s="1"/>
  <c r="AP18" i="27" s="1"/>
  <c r="AP19" i="27" s="1"/>
  <c r="AP20" i="27" s="1"/>
  <c r="AP21" i="27" s="1"/>
  <c r="AP22" i="27" s="1"/>
  <c r="AP23" i="27" s="1"/>
  <c r="AP24" i="27" s="1"/>
  <c r="AP25" i="27" s="1"/>
  <c r="AP26" i="27" s="1"/>
  <c r="AP27" i="27" s="1"/>
  <c r="AP28" i="27" s="1"/>
  <c r="AP29" i="27" s="1"/>
  <c r="AP30" i="27" s="1"/>
  <c r="AP31" i="27" s="1"/>
  <c r="AP32" i="27" s="1"/>
  <c r="AP33" i="27" s="1"/>
  <c r="AP34" i="27" s="1"/>
  <c r="AP35" i="27" s="1"/>
  <c r="AP36" i="27" s="1"/>
  <c r="AP37" i="27" s="1"/>
  <c r="AP38" i="27" s="1"/>
  <c r="AP39" i="27" s="1"/>
  <c r="AP40" i="27" s="1"/>
  <c r="AP41" i="27" s="1"/>
  <c r="AP42" i="27" s="1"/>
  <c r="AP43" i="27" s="1"/>
  <c r="AP44" i="27" s="1"/>
  <c r="AP45" i="27" s="1"/>
  <c r="AP46" i="27" s="1"/>
  <c r="AP47" i="27" s="1"/>
  <c r="AP48" i="27" s="1"/>
  <c r="AP49" i="27" s="1"/>
  <c r="AP50" i="27" s="1"/>
  <c r="AP51" i="27" s="1"/>
  <c r="AP52" i="27" s="1"/>
  <c r="AP53" i="27" s="1"/>
  <c r="AP54" i="27" s="1"/>
  <c r="AP55" i="27" s="1"/>
  <c r="AP56" i="27" s="1"/>
  <c r="AP57" i="27" s="1"/>
  <c r="AP58" i="27" s="1"/>
  <c r="AP59" i="27" s="1"/>
  <c r="AP60" i="27" s="1"/>
  <c r="AP61" i="27" s="1"/>
  <c r="AP62" i="27" s="1"/>
  <c r="AP63" i="27" s="1"/>
  <c r="AP64" i="27" s="1"/>
  <c r="AP65" i="27" s="1"/>
  <c r="AP66" i="27" s="1"/>
  <c r="AP67" i="27" s="1"/>
  <c r="AP68" i="27" s="1"/>
  <c r="AP69" i="27" s="1"/>
  <c r="AP70" i="27" s="1"/>
  <c r="AP71" i="27" s="1"/>
  <c r="AP72" i="27" s="1"/>
  <c r="AP73" i="27" s="1"/>
  <c r="AP74" i="27" s="1"/>
  <c r="AP75" i="27" s="1"/>
  <c r="AP76" i="27" s="1"/>
  <c r="AP77" i="27" s="1"/>
  <c r="AP78" i="27" s="1"/>
  <c r="AP79" i="27" s="1"/>
  <c r="AP80" i="27" s="1"/>
  <c r="AP81" i="27" s="1"/>
  <c r="AP82" i="27" s="1"/>
  <c r="AP83" i="27" s="1"/>
  <c r="AP84" i="27" s="1"/>
  <c r="AP85" i="27" s="1"/>
  <c r="AP86" i="27" s="1"/>
  <c r="AP87" i="27" s="1"/>
  <c r="AP88" i="27" s="1"/>
  <c r="AP89" i="27" s="1"/>
  <c r="AP90" i="27" s="1"/>
  <c r="AP91" i="27" s="1"/>
  <c r="AP92" i="27" s="1"/>
  <c r="AP93" i="27" s="1"/>
  <c r="AP94" i="27" s="1"/>
  <c r="AP95" i="27" s="1"/>
  <c r="AP96" i="27" s="1"/>
  <c r="AP97" i="27" s="1"/>
  <c r="AP98" i="27" s="1"/>
  <c r="AP99" i="27" s="1"/>
  <c r="AP100" i="27" s="1"/>
  <c r="AP101" i="27" s="1"/>
  <c r="AP102" i="27" s="1"/>
  <c r="AP103" i="27" s="1"/>
  <c r="AP104" i="27" s="1"/>
  <c r="AP105" i="27" s="1"/>
  <c r="AP106" i="27" s="1"/>
  <c r="AP107" i="27" s="1"/>
  <c r="AP108" i="27" s="1"/>
  <c r="AP109" i="27" s="1"/>
  <c r="CO3" i="27"/>
  <c r="CP3" i="27"/>
  <c r="CN3" i="27"/>
  <c r="CK4" i="27"/>
  <c r="AL3" i="27"/>
  <c r="AL4" i="27" s="1"/>
  <c r="AL5" i="27" s="1"/>
  <c r="AL6" i="27" s="1"/>
  <c r="AL7" i="27" s="1"/>
  <c r="AL8" i="27" s="1"/>
  <c r="AL9" i="27" s="1"/>
  <c r="AL10" i="27" s="1"/>
  <c r="AL11" i="27" s="1"/>
  <c r="AL12" i="27" s="1"/>
  <c r="AL13" i="27" s="1"/>
  <c r="AL14" i="27" s="1"/>
  <c r="AL15" i="27" s="1"/>
  <c r="AL16" i="27" s="1"/>
  <c r="AL17" i="27" s="1"/>
  <c r="AL18" i="27" s="1"/>
  <c r="AL19" i="27" s="1"/>
  <c r="AL20" i="27" s="1"/>
  <c r="AL21" i="27" s="1"/>
  <c r="AL22" i="27" s="1"/>
  <c r="AL23" i="27" s="1"/>
  <c r="AL24" i="27" s="1"/>
  <c r="AL25" i="27" s="1"/>
  <c r="AL26" i="27" s="1"/>
  <c r="AL27" i="27" s="1"/>
  <c r="AL28" i="27" s="1"/>
  <c r="AL29" i="27" s="1"/>
  <c r="AL30" i="27" s="1"/>
  <c r="AL31" i="27" s="1"/>
  <c r="AL32" i="27" s="1"/>
  <c r="AL33" i="27" s="1"/>
  <c r="AL34" i="27" s="1"/>
  <c r="AL35" i="27" s="1"/>
  <c r="AL36" i="27" s="1"/>
  <c r="AL37" i="27" s="1"/>
  <c r="AL38" i="27" s="1"/>
  <c r="AL39" i="27" s="1"/>
  <c r="AL40" i="27" s="1"/>
  <c r="AL41" i="27" s="1"/>
  <c r="AL42" i="27" s="1"/>
  <c r="AL43" i="27" s="1"/>
  <c r="AL44" i="27" s="1"/>
  <c r="AL45" i="27" s="1"/>
  <c r="AL46" i="27" s="1"/>
  <c r="AL47" i="27" s="1"/>
  <c r="AL48" i="27" s="1"/>
  <c r="AL49" i="27" s="1"/>
  <c r="AL50" i="27" s="1"/>
  <c r="AL51" i="27" s="1"/>
  <c r="AL52" i="27" s="1"/>
  <c r="AL53" i="27" s="1"/>
  <c r="AL54" i="27" s="1"/>
  <c r="AL55" i="27" s="1"/>
  <c r="AL56" i="27" s="1"/>
  <c r="AL57" i="27" s="1"/>
  <c r="AL58" i="27" s="1"/>
  <c r="AL59" i="27" s="1"/>
  <c r="AL60" i="27" s="1"/>
  <c r="AL61" i="27" s="1"/>
  <c r="AL62" i="27" s="1"/>
  <c r="AL63" i="27" s="1"/>
  <c r="AL64" i="27" s="1"/>
  <c r="AL65" i="27" s="1"/>
  <c r="AL66" i="27" s="1"/>
  <c r="AL67" i="27" s="1"/>
  <c r="AL68" i="27" s="1"/>
  <c r="AL69" i="27" s="1"/>
  <c r="AL70" i="27" s="1"/>
  <c r="AL71" i="27" s="1"/>
  <c r="AL72" i="27" s="1"/>
  <c r="AL73" i="27" s="1"/>
  <c r="AL74" i="27" s="1"/>
  <c r="AL75" i="27" s="1"/>
  <c r="AL76" i="27" s="1"/>
  <c r="AL77" i="27" s="1"/>
  <c r="AL78" i="27" s="1"/>
  <c r="AL79" i="27" s="1"/>
  <c r="AL80" i="27" s="1"/>
  <c r="AL81" i="27" s="1"/>
  <c r="AL82" i="27" s="1"/>
  <c r="AL83" i="27" s="1"/>
  <c r="AL84" i="27" s="1"/>
  <c r="AL85" i="27" s="1"/>
  <c r="AL86" i="27" s="1"/>
  <c r="AL87" i="27" s="1"/>
  <c r="AL88" i="27" s="1"/>
  <c r="AL89" i="27" s="1"/>
  <c r="AL90" i="27" s="1"/>
  <c r="AL91" i="27" s="1"/>
  <c r="AL92" i="27" s="1"/>
  <c r="AL93" i="27" s="1"/>
  <c r="AL94" i="27" s="1"/>
  <c r="AL95" i="27" s="1"/>
  <c r="AL96" i="27" s="1"/>
  <c r="AL97" i="27" s="1"/>
  <c r="AL98" i="27" s="1"/>
  <c r="AL99" i="27" s="1"/>
  <c r="AL100" i="27" s="1"/>
  <c r="AL101" i="27" s="1"/>
  <c r="AL102" i="27" s="1"/>
  <c r="AL103" i="27" s="1"/>
  <c r="AL104" i="27" s="1"/>
  <c r="AL105" i="27" s="1"/>
  <c r="AL106" i="27" s="1"/>
  <c r="AL107" i="27" s="1"/>
  <c r="AL108" i="27" s="1"/>
  <c r="AL109" i="27" s="1"/>
  <c r="AM4" i="27"/>
  <c r="AM5" i="27"/>
  <c r="AM6" i="27" s="1"/>
  <c r="AM7" i="27" s="1"/>
  <c r="AM8" i="27" s="1"/>
  <c r="AM9" i="27" s="1"/>
  <c r="AM10" i="27" s="1"/>
  <c r="AM11" i="27" s="1"/>
  <c r="AM12" i="27" s="1"/>
  <c r="AM13" i="27" s="1"/>
  <c r="AM14" i="27" s="1"/>
  <c r="AM15" i="27" s="1"/>
  <c r="AM16" i="27" s="1"/>
  <c r="AM17" i="27" s="1"/>
  <c r="AM18" i="27" s="1"/>
  <c r="AM19" i="27" s="1"/>
  <c r="AM20" i="27" s="1"/>
  <c r="AM21" i="27" s="1"/>
  <c r="AM22" i="27" s="1"/>
  <c r="AM23" i="27" s="1"/>
  <c r="AM24" i="27" s="1"/>
  <c r="AM25" i="27" s="1"/>
  <c r="AM26" i="27" s="1"/>
  <c r="AM27" i="27" s="1"/>
  <c r="AM28" i="27" s="1"/>
  <c r="AM29" i="27" s="1"/>
  <c r="AM30" i="27" s="1"/>
  <c r="AM31" i="27" s="1"/>
  <c r="AM32" i="27" s="1"/>
  <c r="AM33" i="27" s="1"/>
  <c r="AM34" i="27" s="1"/>
  <c r="AM35" i="27" s="1"/>
  <c r="AM36" i="27" s="1"/>
  <c r="AM37" i="27" s="1"/>
  <c r="AM38" i="27" s="1"/>
  <c r="AM39" i="27" s="1"/>
  <c r="AM40" i="27" s="1"/>
  <c r="AM41" i="27" s="1"/>
  <c r="AM42" i="27" s="1"/>
  <c r="AM43" i="27" s="1"/>
  <c r="AM44" i="27" s="1"/>
  <c r="AM45" i="27" s="1"/>
  <c r="AM46" i="27" s="1"/>
  <c r="AM47" i="27" s="1"/>
  <c r="AM48" i="27" s="1"/>
  <c r="AM49" i="27" s="1"/>
  <c r="AM50" i="27" s="1"/>
  <c r="AM51" i="27" s="1"/>
  <c r="AM52" i="27" s="1"/>
  <c r="AM53" i="27" s="1"/>
  <c r="AM54" i="27" s="1"/>
  <c r="AM55" i="27" s="1"/>
  <c r="AM56" i="27" s="1"/>
  <c r="AM57" i="27" s="1"/>
  <c r="AM58" i="27" s="1"/>
  <c r="AM59" i="27" s="1"/>
  <c r="AM60" i="27" s="1"/>
  <c r="AM61" i="27" s="1"/>
  <c r="AM62" i="27" s="1"/>
  <c r="AM63" i="27" s="1"/>
  <c r="AM64" i="27" s="1"/>
  <c r="AM65" i="27" s="1"/>
  <c r="AM66" i="27" s="1"/>
  <c r="AM67" i="27" s="1"/>
  <c r="AM68" i="27" s="1"/>
  <c r="AM69" i="27" s="1"/>
  <c r="AM70" i="27" s="1"/>
  <c r="AM71" i="27" s="1"/>
  <c r="AM72" i="27" s="1"/>
  <c r="AM73" i="27" s="1"/>
  <c r="AM74" i="27" s="1"/>
  <c r="AM75" i="27" s="1"/>
  <c r="AM76" i="27" s="1"/>
  <c r="AM77" i="27" s="1"/>
  <c r="AM78" i="27" s="1"/>
  <c r="AM79" i="27" s="1"/>
  <c r="AM80" i="27" s="1"/>
  <c r="AM81" i="27" s="1"/>
  <c r="AM82" i="27" s="1"/>
  <c r="AM83" i="27" s="1"/>
  <c r="AM84" i="27" s="1"/>
  <c r="AM85" i="27" s="1"/>
  <c r="AM86" i="27" s="1"/>
  <c r="AM87" i="27" s="1"/>
  <c r="AM88" i="27" s="1"/>
  <c r="AM89" i="27" s="1"/>
  <c r="AM90" i="27" s="1"/>
  <c r="AM91" i="27" s="1"/>
  <c r="AM92" i="27" s="1"/>
  <c r="AM93" i="27" s="1"/>
  <c r="AM94" i="27" s="1"/>
  <c r="AM95" i="27" s="1"/>
  <c r="AM96" i="27" s="1"/>
  <c r="AM97" i="27" s="1"/>
  <c r="AM98" i="27" s="1"/>
  <c r="AM99" i="27" s="1"/>
  <c r="AM100" i="27" s="1"/>
  <c r="AM101" i="27" s="1"/>
  <c r="AM102" i="27" s="1"/>
  <c r="AM103" i="27" s="1"/>
  <c r="AM104" i="27" s="1"/>
  <c r="AM105" i="27" s="1"/>
  <c r="AM106" i="27" s="1"/>
  <c r="AM107" i="27" s="1"/>
  <c r="AM108" i="27" s="1"/>
  <c r="AM109" i="27" s="1"/>
  <c r="AN4" i="27"/>
  <c r="AN5" i="27" s="1"/>
  <c r="AN6" i="27" s="1"/>
  <c r="AN7" i="27" s="1"/>
  <c r="AN8" i="27" s="1"/>
  <c r="AN9" i="27" s="1"/>
  <c r="AN10" i="27" s="1"/>
  <c r="AN11" i="27" s="1"/>
  <c r="AN12" i="27" s="1"/>
  <c r="AN13" i="27" s="1"/>
  <c r="AN14" i="27" s="1"/>
  <c r="AN15" i="27" s="1"/>
  <c r="AN16" i="27" s="1"/>
  <c r="AN17" i="27" s="1"/>
  <c r="AN18" i="27" s="1"/>
  <c r="AN19" i="27" s="1"/>
  <c r="AN20" i="27" s="1"/>
  <c r="AN21" i="27" s="1"/>
  <c r="AN22" i="27" s="1"/>
  <c r="AN23" i="27" s="1"/>
  <c r="AN24" i="27" s="1"/>
  <c r="AN25" i="27" s="1"/>
  <c r="AN26" i="27" s="1"/>
  <c r="AN27" i="27" s="1"/>
  <c r="AN28" i="27" s="1"/>
  <c r="AN29" i="27" s="1"/>
  <c r="AN30" i="27" s="1"/>
  <c r="AN31" i="27" s="1"/>
  <c r="AN32" i="27" s="1"/>
  <c r="AN33" i="27" s="1"/>
  <c r="AN34" i="27" s="1"/>
  <c r="AN35" i="27" s="1"/>
  <c r="AN36" i="27" s="1"/>
  <c r="AN37" i="27" s="1"/>
  <c r="AN38" i="27" s="1"/>
  <c r="AN39" i="27" s="1"/>
  <c r="AN40" i="27" s="1"/>
  <c r="AN41" i="27" s="1"/>
  <c r="AN42" i="27" s="1"/>
  <c r="AN43" i="27" s="1"/>
  <c r="AN44" i="27" s="1"/>
  <c r="AN45" i="27" s="1"/>
  <c r="AN46" i="27" s="1"/>
  <c r="AN47" i="27" s="1"/>
  <c r="AN48" i="27" s="1"/>
  <c r="AN49" i="27" s="1"/>
  <c r="AN50" i="27" s="1"/>
  <c r="AN51" i="27" s="1"/>
  <c r="AN52" i="27" s="1"/>
  <c r="AN53" i="27" s="1"/>
  <c r="AN54" i="27" s="1"/>
  <c r="AN55" i="27" s="1"/>
  <c r="AN56" i="27" s="1"/>
  <c r="AN57" i="27" s="1"/>
  <c r="AN58" i="27" s="1"/>
  <c r="AN59" i="27" s="1"/>
  <c r="AN60" i="27" s="1"/>
  <c r="AN61" i="27" s="1"/>
  <c r="AN62" i="27" s="1"/>
  <c r="AN63" i="27" s="1"/>
  <c r="AN64" i="27" s="1"/>
  <c r="AN65" i="27" s="1"/>
  <c r="AN66" i="27" s="1"/>
  <c r="AN67" i="27" s="1"/>
  <c r="AN68" i="27" s="1"/>
  <c r="AN69" i="27" s="1"/>
  <c r="AN70" i="27" s="1"/>
  <c r="AN71" i="27" s="1"/>
  <c r="AN72" i="27" s="1"/>
  <c r="AN73" i="27" s="1"/>
  <c r="AN74" i="27" s="1"/>
  <c r="AN75" i="27" s="1"/>
  <c r="AN76" i="27" s="1"/>
  <c r="AN77" i="27" s="1"/>
  <c r="AN78" i="27" s="1"/>
  <c r="AN79" i="27" s="1"/>
  <c r="AN80" i="27" s="1"/>
  <c r="AN81" i="27" s="1"/>
  <c r="AN82" i="27" s="1"/>
  <c r="AN83" i="27" s="1"/>
  <c r="AN84" i="27" s="1"/>
  <c r="AN85" i="27" s="1"/>
  <c r="AN86" i="27" s="1"/>
  <c r="AN87" i="27" s="1"/>
  <c r="AN88" i="27" s="1"/>
  <c r="AN89" i="27" s="1"/>
  <c r="AN90" i="27" s="1"/>
  <c r="AN91" i="27" s="1"/>
  <c r="AN92" i="27" s="1"/>
  <c r="AN93" i="27" s="1"/>
  <c r="AN94" i="27" s="1"/>
  <c r="AN95" i="27" s="1"/>
  <c r="AN96" i="27" s="1"/>
  <c r="AN97" i="27" s="1"/>
  <c r="AN98" i="27" s="1"/>
  <c r="AN99" i="27" s="1"/>
  <c r="AN100" i="27" s="1"/>
  <c r="AN101" i="27" s="1"/>
  <c r="AN102" i="27" s="1"/>
  <c r="AN103" i="27" s="1"/>
  <c r="AN104" i="27" s="1"/>
  <c r="AN105" i="27" s="1"/>
  <c r="AN106" i="27" s="1"/>
  <c r="AN107" i="27" s="1"/>
  <c r="AN108" i="27" s="1"/>
  <c r="AN109" i="27" s="1"/>
  <c r="AS2" i="27"/>
  <c r="AT2" i="27"/>
  <c r="AU2" i="27"/>
  <c r="Q38" i="7"/>
  <c r="Q39" i="7" s="1"/>
  <c r="P38" i="7"/>
  <c r="P39" i="7" s="1"/>
  <c r="O38" i="7"/>
  <c r="O39" i="7" s="1"/>
  <c r="N38" i="7"/>
  <c r="N39" i="7" s="1"/>
  <c r="M38" i="7"/>
  <c r="M39" i="7" s="1"/>
  <c r="P36" i="7"/>
  <c r="P37" i="7" s="1"/>
  <c r="O36" i="7"/>
  <c r="O37" i="7" s="1"/>
  <c r="N36" i="7"/>
  <c r="N37" i="7" s="1"/>
  <c r="M36" i="7"/>
  <c r="M37" i="7" s="1"/>
  <c r="N34" i="7"/>
  <c r="N35" i="7" s="1"/>
  <c r="M34" i="7"/>
  <c r="M35" i="7" s="1"/>
  <c r="P30" i="7"/>
  <c r="O30" i="7"/>
  <c r="N30" i="7"/>
  <c r="M30" i="7"/>
  <c r="O29" i="7"/>
  <c r="N29" i="7"/>
  <c r="M29" i="7"/>
  <c r="N28" i="7"/>
  <c r="M28" i="7"/>
  <c r="M27" i="7"/>
  <c r="Q22" i="7"/>
  <c r="P22" i="7"/>
  <c r="O22" i="7"/>
  <c r="N22" i="7"/>
  <c r="M22" i="7"/>
  <c r="Q21" i="7"/>
  <c r="P21" i="7"/>
  <c r="O21" i="7"/>
  <c r="N21" i="7"/>
  <c r="M21" i="7"/>
  <c r="Q20" i="7"/>
  <c r="P20" i="7"/>
  <c r="O20" i="7"/>
  <c r="N20" i="7"/>
  <c r="M20" i="7"/>
  <c r="Q19" i="7"/>
  <c r="P19" i="7"/>
  <c r="O19" i="7"/>
  <c r="N19" i="7"/>
  <c r="M19" i="7"/>
  <c r="Q18" i="7"/>
  <c r="P18" i="7"/>
  <c r="O18" i="7"/>
  <c r="N18" i="7"/>
  <c r="M18" i="7"/>
  <c r="Q17" i="7"/>
  <c r="P17" i="7"/>
  <c r="O17" i="7"/>
  <c r="N17" i="7"/>
  <c r="Q15" i="7"/>
  <c r="P15" i="7"/>
  <c r="O15" i="7"/>
  <c r="N15" i="7"/>
  <c r="Q14" i="7"/>
  <c r="P14" i="7"/>
  <c r="O14" i="7"/>
  <c r="N14" i="7"/>
  <c r="Q13" i="7"/>
  <c r="P13" i="7"/>
  <c r="O13" i="7"/>
  <c r="N13" i="7"/>
  <c r="Q12" i="7"/>
  <c r="P12" i="7"/>
  <c r="O12" i="7"/>
  <c r="N12" i="7"/>
  <c r="Q11" i="7"/>
  <c r="P11" i="7"/>
  <c r="M17" i="7"/>
  <c r="M15" i="7"/>
  <c r="M14" i="7"/>
  <c r="M13" i="7"/>
  <c r="M12" i="7"/>
  <c r="M11" i="7"/>
  <c r="CQ3" i="27" l="1"/>
  <c r="AV7" i="27"/>
  <c r="CP4" i="27"/>
  <c r="CQ4" i="27" s="1"/>
  <c r="CK5" i="27"/>
  <c r="CN4" i="27"/>
  <c r="CO4" i="27"/>
  <c r="AW3" i="27"/>
  <c r="AX3" i="27" s="1"/>
  <c r="AR3" i="27"/>
  <c r="AT3" i="27"/>
  <c r="AU3" i="27"/>
  <c r="AS3" i="27"/>
  <c r="AV3" i="27"/>
  <c r="G99" i="11"/>
  <c r="G100" i="11"/>
  <c r="G101" i="11"/>
  <c r="G102" i="11"/>
  <c r="G103" i="11"/>
  <c r="G104" i="11"/>
  <c r="G105" i="11"/>
  <c r="G106" i="11"/>
  <c r="G107" i="11"/>
  <c r="G108" i="11"/>
  <c r="G109" i="11"/>
  <c r="G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2" i="11"/>
  <c r="CP5" i="27" l="1"/>
  <c r="CQ5" i="27" s="1"/>
  <c r="CK6" i="27"/>
  <c r="CN5" i="27"/>
  <c r="CO5" i="27"/>
  <c r="AW4" i="27"/>
  <c r="AX4" i="27" s="1"/>
  <c r="AR4" i="27"/>
  <c r="AS4" i="27"/>
  <c r="AV4" i="27"/>
  <c r="AT4" i="27"/>
  <c r="AU4" i="27"/>
  <c r="N2" i="11"/>
  <c r="N3" i="11" s="1"/>
  <c r="N4" i="11" s="1"/>
  <c r="N5" i="11" s="1"/>
  <c r="N6" i="11" s="1"/>
  <c r="N7" i="11" s="1"/>
  <c r="N8" i="11" s="1"/>
  <c r="N9" i="11" s="1"/>
  <c r="N10" i="11" s="1"/>
  <c r="N11" i="11" s="1"/>
  <c r="N12" i="11" s="1"/>
  <c r="N13" i="11" s="1"/>
  <c r="N14" i="11" s="1"/>
  <c r="N15" i="11" s="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N78" i="11" s="1"/>
  <c r="N79" i="11" s="1"/>
  <c r="N80" i="11" s="1"/>
  <c r="N81" i="11" s="1"/>
  <c r="N82" i="11" s="1"/>
  <c r="N83" i="11" s="1"/>
  <c r="N84" i="11" s="1"/>
  <c r="N85" i="11" s="1"/>
  <c r="N86" i="11" s="1"/>
  <c r="N87" i="11" s="1"/>
  <c r="N88" i="11" s="1"/>
  <c r="N89" i="11" s="1"/>
  <c r="N90" i="11" s="1"/>
  <c r="N91" i="11" s="1"/>
  <c r="N92" i="11" s="1"/>
  <c r="N93" i="11" s="1"/>
  <c r="N94" i="11" s="1"/>
  <c r="N95" i="11" s="1"/>
  <c r="N96" i="11" s="1"/>
  <c r="N97" i="11" s="1"/>
  <c r="N98" i="11" s="1"/>
  <c r="N99" i="11" s="1"/>
  <c r="N100" i="11" s="1"/>
  <c r="N101" i="11" s="1"/>
  <c r="N102" i="11" s="1"/>
  <c r="N103" i="11" s="1"/>
  <c r="N104" i="11" s="1"/>
  <c r="N105" i="11" s="1"/>
  <c r="N106" i="11" s="1"/>
  <c r="N107" i="11" s="1"/>
  <c r="N108" i="11" s="1"/>
  <c r="N109" i="11" s="1"/>
  <c r="CP6" i="27" l="1"/>
  <c r="CQ6" i="27" s="1"/>
  <c r="CN6" i="27"/>
  <c r="CO6" i="27"/>
  <c r="CK7" i="27"/>
  <c r="AT5" i="27"/>
  <c r="AS5" i="27"/>
  <c r="AV5" i="27"/>
  <c r="AU5" i="27"/>
  <c r="AW5" i="27"/>
  <c r="AX5" i="27" s="1"/>
  <c r="AR5" i="27"/>
  <c r="D14" i="14"/>
  <c r="CP7" i="27" l="1"/>
  <c r="CQ7" i="27" s="1"/>
  <c r="CK8" i="27"/>
  <c r="CN7" i="27"/>
  <c r="CO7" i="27"/>
  <c r="AV6" i="27"/>
  <c r="AS6" i="27"/>
  <c r="AW6" i="27"/>
  <c r="AX6" i="27" s="1"/>
  <c r="AR6" i="27"/>
  <c r="AT6" i="27"/>
  <c r="AU6" i="27"/>
  <c r="T3" i="12"/>
  <c r="T4" i="12"/>
  <c r="T5" i="12"/>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2" i="12"/>
  <c r="CP8" i="27" l="1"/>
  <c r="CQ8" i="27" s="1"/>
  <c r="CN8" i="27"/>
  <c r="CK9" i="27"/>
  <c r="CO8" i="27"/>
  <c r="AW7" i="27"/>
  <c r="AX7" i="27" s="1"/>
  <c r="AR7" i="27"/>
  <c r="AU7" i="27"/>
  <c r="AS7" i="27"/>
  <c r="AT7" i="27"/>
  <c r="T4" i="5"/>
  <c r="CP9" i="27" l="1"/>
  <c r="CQ9" i="27" s="1"/>
  <c r="CK10" i="27"/>
  <c r="CN9" i="27"/>
  <c r="CO9" i="27"/>
  <c r="AV8" i="27"/>
  <c r="AT8" i="27"/>
  <c r="AU8" i="27"/>
  <c r="AW8" i="27"/>
  <c r="AX8" i="27" s="1"/>
  <c r="AR8" i="27"/>
  <c r="AS8" i="27"/>
  <c r="T3"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I39" i="13"/>
  <c r="I34" i="13"/>
  <c r="S3" i="12"/>
  <c r="S4" i="12"/>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2" i="12"/>
  <c r="CP10" i="27" l="1"/>
  <c r="CQ10" i="27" s="1"/>
  <c r="CK11" i="27"/>
  <c r="CO10" i="27"/>
  <c r="CN10" i="27"/>
  <c r="AW9" i="27"/>
  <c r="AX9" i="27" s="1"/>
  <c r="AR9" i="27"/>
  <c r="AV9" i="27"/>
  <c r="AU9" i="27"/>
  <c r="AV10" i="27"/>
  <c r="AT9" i="27"/>
  <c r="AS9" i="27"/>
  <c r="Y3" i="12"/>
  <c r="Z3" i="12"/>
  <c r="AA3" i="12"/>
  <c r="Y4" i="12"/>
  <c r="Z4" i="12"/>
  <c r="AA4" i="12"/>
  <c r="Y5" i="12"/>
  <c r="Z5" i="12"/>
  <c r="AA5" i="12"/>
  <c r="Y6" i="12"/>
  <c r="Z6" i="12"/>
  <c r="AA6" i="12"/>
  <c r="Y7" i="12"/>
  <c r="Z7" i="12"/>
  <c r="AA7" i="12"/>
  <c r="Y8" i="12"/>
  <c r="Z8" i="12"/>
  <c r="AA8" i="12"/>
  <c r="Y9" i="12"/>
  <c r="Z9" i="12"/>
  <c r="AA9" i="12"/>
  <c r="Y10" i="12"/>
  <c r="Z10" i="12"/>
  <c r="AA10" i="12"/>
  <c r="Y11" i="12"/>
  <c r="Z11" i="12"/>
  <c r="AA11" i="12"/>
  <c r="Y12" i="12"/>
  <c r="Z12" i="12"/>
  <c r="AA12" i="12"/>
  <c r="Y13" i="12"/>
  <c r="Z13" i="12"/>
  <c r="AA13" i="12"/>
  <c r="Y14" i="12"/>
  <c r="Z14" i="12"/>
  <c r="AA14" i="12"/>
  <c r="Y15" i="12"/>
  <c r="Z15" i="12"/>
  <c r="AA15" i="12"/>
  <c r="Y16" i="12"/>
  <c r="Z16" i="12"/>
  <c r="AA16" i="12"/>
  <c r="Y17" i="12"/>
  <c r="Z17" i="12"/>
  <c r="AA17" i="12"/>
  <c r="Y18" i="12"/>
  <c r="Z18" i="12"/>
  <c r="AA18" i="12"/>
  <c r="Y19" i="12"/>
  <c r="Z19" i="12"/>
  <c r="AA19" i="12"/>
  <c r="Y20" i="12"/>
  <c r="Z20" i="12"/>
  <c r="AA20" i="12"/>
  <c r="Y21" i="12"/>
  <c r="Z21" i="12"/>
  <c r="AA21" i="12"/>
  <c r="Y22" i="12"/>
  <c r="Z22" i="12"/>
  <c r="AA22" i="12"/>
  <c r="Y23" i="12"/>
  <c r="Z23" i="12"/>
  <c r="AA23" i="12"/>
  <c r="Y24" i="12"/>
  <c r="Z24" i="12"/>
  <c r="AA24" i="12"/>
  <c r="Y25" i="12"/>
  <c r="Z25" i="12"/>
  <c r="AA25" i="12"/>
  <c r="Y26" i="12"/>
  <c r="Z26" i="12"/>
  <c r="AA26" i="12"/>
  <c r="Y27" i="12"/>
  <c r="Z27" i="12"/>
  <c r="AA27" i="12"/>
  <c r="Y28" i="12"/>
  <c r="Z28" i="12"/>
  <c r="AA28" i="12"/>
  <c r="Y29" i="12"/>
  <c r="Z29" i="12"/>
  <c r="AA29" i="12"/>
  <c r="Y30" i="12"/>
  <c r="Z30" i="12"/>
  <c r="AA30" i="12"/>
  <c r="Y31" i="12"/>
  <c r="Z31" i="12"/>
  <c r="AA31" i="12"/>
  <c r="Y32" i="12"/>
  <c r="Z32" i="12"/>
  <c r="AA32" i="12"/>
  <c r="Y33" i="12"/>
  <c r="Z33" i="12"/>
  <c r="AA33" i="12"/>
  <c r="Y34" i="12"/>
  <c r="Z34" i="12"/>
  <c r="AA34" i="12"/>
  <c r="Y35" i="12"/>
  <c r="Z35" i="12"/>
  <c r="AA35" i="12"/>
  <c r="Y36" i="12"/>
  <c r="Z36" i="12"/>
  <c r="AA36" i="12"/>
  <c r="Y37" i="12"/>
  <c r="Z37" i="12"/>
  <c r="AA37" i="12"/>
  <c r="Y38" i="12"/>
  <c r="Z38" i="12"/>
  <c r="AA38" i="12"/>
  <c r="Y39" i="12"/>
  <c r="Z39" i="12"/>
  <c r="AA39" i="12"/>
  <c r="Y40" i="12"/>
  <c r="Z40" i="12"/>
  <c r="AA40" i="12"/>
  <c r="Y41" i="12"/>
  <c r="Z41" i="12"/>
  <c r="AA41" i="12"/>
  <c r="Y42" i="12"/>
  <c r="Z42" i="12"/>
  <c r="AA42" i="12"/>
  <c r="Y43" i="12"/>
  <c r="Z43" i="12"/>
  <c r="AA43" i="12"/>
  <c r="Y44" i="12"/>
  <c r="Z44" i="12"/>
  <c r="AA44" i="12"/>
  <c r="Y45" i="12"/>
  <c r="Z45" i="12"/>
  <c r="AA45" i="12"/>
  <c r="Y46" i="12"/>
  <c r="Z46" i="12"/>
  <c r="AA46" i="12"/>
  <c r="Y47" i="12"/>
  <c r="Z47" i="12"/>
  <c r="AA47" i="12"/>
  <c r="Y48" i="12"/>
  <c r="Z48" i="12"/>
  <c r="AA48" i="12"/>
  <c r="Y49" i="12"/>
  <c r="Z49" i="12"/>
  <c r="AA49" i="12"/>
  <c r="Y50" i="12"/>
  <c r="Z50" i="12"/>
  <c r="AA50" i="12"/>
  <c r="Y51" i="12"/>
  <c r="Z51" i="12"/>
  <c r="AA51" i="12"/>
  <c r="Y52" i="12"/>
  <c r="Z52" i="12"/>
  <c r="AA52" i="12"/>
  <c r="Y53" i="12"/>
  <c r="Z53" i="12"/>
  <c r="AA53" i="12"/>
  <c r="Y54" i="12"/>
  <c r="Z54" i="12"/>
  <c r="AA54" i="12"/>
  <c r="Y55" i="12"/>
  <c r="Z55" i="12"/>
  <c r="AA55" i="12"/>
  <c r="Y56" i="12"/>
  <c r="Z56" i="12"/>
  <c r="AA56" i="12"/>
  <c r="Y57" i="12"/>
  <c r="Z57" i="12"/>
  <c r="AA57" i="12"/>
  <c r="Y58" i="12"/>
  <c r="Z58" i="12"/>
  <c r="AA58" i="12"/>
  <c r="Y59" i="12"/>
  <c r="Z59" i="12"/>
  <c r="AA59" i="12"/>
  <c r="Y60" i="12"/>
  <c r="Z60" i="12"/>
  <c r="AA60" i="12"/>
  <c r="Y61" i="12"/>
  <c r="Z61" i="12"/>
  <c r="AA61" i="12"/>
  <c r="Y62" i="12"/>
  <c r="Z62" i="12"/>
  <c r="AA62" i="12"/>
  <c r="Y63" i="12"/>
  <c r="Z63" i="12"/>
  <c r="AA63" i="12"/>
  <c r="Y64" i="12"/>
  <c r="Z64" i="12"/>
  <c r="AA64" i="12"/>
  <c r="Y65" i="12"/>
  <c r="Z65" i="12"/>
  <c r="AA65" i="12"/>
  <c r="Y66" i="12"/>
  <c r="Z66" i="12"/>
  <c r="AA66" i="12"/>
  <c r="Y67" i="12"/>
  <c r="Z67" i="12"/>
  <c r="AA67" i="12"/>
  <c r="Y68" i="12"/>
  <c r="Z68" i="12"/>
  <c r="AA68" i="12"/>
  <c r="Y69" i="12"/>
  <c r="Z69" i="12"/>
  <c r="AA69" i="12"/>
  <c r="Y70" i="12"/>
  <c r="Z70" i="12"/>
  <c r="AA70" i="12"/>
  <c r="Y71" i="12"/>
  <c r="Z71" i="12"/>
  <c r="AA71" i="12"/>
  <c r="Y72" i="12"/>
  <c r="Z72" i="12"/>
  <c r="AA72" i="12"/>
  <c r="Y73" i="12"/>
  <c r="Z73" i="12"/>
  <c r="AA73" i="12"/>
  <c r="Y74" i="12"/>
  <c r="Z74" i="12"/>
  <c r="AA74" i="12"/>
  <c r="Y75" i="12"/>
  <c r="Z75" i="12"/>
  <c r="AA75" i="12"/>
  <c r="Y76" i="12"/>
  <c r="Z76" i="12"/>
  <c r="AA76" i="12"/>
  <c r="Y77" i="12"/>
  <c r="Z77" i="12"/>
  <c r="AA77" i="12"/>
  <c r="Y78" i="12"/>
  <c r="Z78" i="12"/>
  <c r="AA78" i="12"/>
  <c r="Y79" i="12"/>
  <c r="Z79" i="12"/>
  <c r="AA79" i="12"/>
  <c r="Y80" i="12"/>
  <c r="Z80" i="12"/>
  <c r="AA80" i="12"/>
  <c r="Y81" i="12"/>
  <c r="Z81" i="12"/>
  <c r="AA81" i="12"/>
  <c r="Y82" i="12"/>
  <c r="Z82" i="12"/>
  <c r="AA82" i="12"/>
  <c r="Y83" i="12"/>
  <c r="Z83" i="12"/>
  <c r="AA83" i="12"/>
  <c r="Y84" i="12"/>
  <c r="Z84" i="12"/>
  <c r="AA84" i="12"/>
  <c r="Y85" i="12"/>
  <c r="Z85" i="12"/>
  <c r="AA85" i="12"/>
  <c r="Y86" i="12"/>
  <c r="Z86" i="12"/>
  <c r="AA86" i="12"/>
  <c r="Y87" i="12"/>
  <c r="Z87" i="12"/>
  <c r="AA87" i="12"/>
  <c r="Y88" i="12"/>
  <c r="Z88" i="12"/>
  <c r="AA88" i="12"/>
  <c r="Y89" i="12"/>
  <c r="Z89" i="12"/>
  <c r="AA89" i="12"/>
  <c r="Y90" i="12"/>
  <c r="Z90" i="12"/>
  <c r="AA90" i="12"/>
  <c r="Y91" i="12"/>
  <c r="Z91" i="12"/>
  <c r="AA91" i="12"/>
  <c r="Y92" i="12"/>
  <c r="Z92" i="12"/>
  <c r="AA92" i="12"/>
  <c r="Y93" i="12"/>
  <c r="Z93" i="12"/>
  <c r="AA93" i="12"/>
  <c r="Y94" i="12"/>
  <c r="Z94" i="12"/>
  <c r="AA94" i="12"/>
  <c r="Y95" i="12"/>
  <c r="Z95" i="12"/>
  <c r="AA95" i="12"/>
  <c r="Y96" i="12"/>
  <c r="Z96" i="12"/>
  <c r="AA96" i="12"/>
  <c r="Y97" i="12"/>
  <c r="Z97" i="12"/>
  <c r="AA97" i="12"/>
  <c r="Y98" i="12"/>
  <c r="Z98" i="12"/>
  <c r="AA98" i="12"/>
  <c r="Y99" i="12"/>
  <c r="Z99" i="12"/>
  <c r="AA99" i="12"/>
  <c r="Y100" i="12"/>
  <c r="Z100" i="12"/>
  <c r="AA100" i="12"/>
  <c r="Y101" i="12"/>
  <c r="Z101" i="12"/>
  <c r="AA101" i="12"/>
  <c r="Y102" i="12"/>
  <c r="Z102" i="12"/>
  <c r="AA102" i="12"/>
  <c r="Y103" i="12"/>
  <c r="Z103" i="12"/>
  <c r="AA103" i="12"/>
  <c r="Y104" i="12"/>
  <c r="Z104" i="12"/>
  <c r="AA104" i="12"/>
  <c r="Y105" i="12"/>
  <c r="Z105" i="12"/>
  <c r="AA105" i="12"/>
  <c r="Y106" i="12"/>
  <c r="Z106" i="12"/>
  <c r="AA106" i="12"/>
  <c r="Y107" i="12"/>
  <c r="Z107" i="12"/>
  <c r="AA107" i="12"/>
  <c r="Y108" i="12"/>
  <c r="Z108" i="12"/>
  <c r="AA108" i="12"/>
  <c r="Y109" i="12"/>
  <c r="Z109" i="12"/>
  <c r="AA109" i="12"/>
  <c r="Z2" i="12"/>
  <c r="H2" i="12"/>
  <c r="Y2" i="12"/>
  <c r="X3"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2" i="12"/>
  <c r="AA2" i="12"/>
  <c r="AC3" i="12"/>
  <c r="AC4" i="12"/>
  <c r="AC5" i="12"/>
  <c r="AC6" i="12"/>
  <c r="AC7" i="12"/>
  <c r="AC8" i="12"/>
  <c r="AC9" i="12"/>
  <c r="AC10" i="12"/>
  <c r="AC11" i="12"/>
  <c r="AC12" i="12"/>
  <c r="AC13" i="12"/>
  <c r="AC14" i="12"/>
  <c r="AC15" i="12"/>
  <c r="AC16" i="12"/>
  <c r="AC17" i="12"/>
  <c r="AC18" i="12"/>
  <c r="AC19" i="12"/>
  <c r="AC20" i="12"/>
  <c r="AC21" i="12"/>
  <c r="AC22" i="12"/>
  <c r="AC23" i="12"/>
  <c r="AC24" i="12"/>
  <c r="AC25" i="12"/>
  <c r="AC26" i="12"/>
  <c r="AC27" i="12"/>
  <c r="AC28" i="12"/>
  <c r="AC29" i="12"/>
  <c r="AC30" i="12"/>
  <c r="AC31" i="12"/>
  <c r="AC32" i="12"/>
  <c r="AC33" i="12"/>
  <c r="AC34" i="12"/>
  <c r="AC35" i="12"/>
  <c r="AC36" i="12"/>
  <c r="AC37" i="12"/>
  <c r="AC38" i="12"/>
  <c r="AC39" i="12"/>
  <c r="AC40" i="12"/>
  <c r="AC41" i="12"/>
  <c r="AC42" i="12"/>
  <c r="AC43" i="12"/>
  <c r="AC44" i="12"/>
  <c r="AC45" i="12"/>
  <c r="AC46" i="12"/>
  <c r="AC47"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92" i="12"/>
  <c r="AC93" i="12"/>
  <c r="AC94" i="12"/>
  <c r="AC95" i="12"/>
  <c r="AC96" i="12"/>
  <c r="AC97" i="12"/>
  <c r="AC98" i="12"/>
  <c r="AC99" i="12"/>
  <c r="AC100" i="12"/>
  <c r="AC101" i="12"/>
  <c r="AC102" i="12"/>
  <c r="AC103" i="12"/>
  <c r="AC104" i="12"/>
  <c r="AC105" i="12"/>
  <c r="AC106" i="12"/>
  <c r="AC107" i="12"/>
  <c r="AC108" i="12"/>
  <c r="AC109" i="12"/>
  <c r="AC2" i="12"/>
  <c r="U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AB34" i="12" s="1"/>
  <c r="U35" i="5"/>
  <c r="AB35" i="12" s="1"/>
  <c r="U36" i="5"/>
  <c r="AB36" i="12" s="1"/>
  <c r="U37" i="5"/>
  <c r="AB37" i="12" s="1"/>
  <c r="U38" i="5"/>
  <c r="AB38" i="12" s="1"/>
  <c r="U39" i="5"/>
  <c r="AB39" i="12" s="1"/>
  <c r="U40" i="5"/>
  <c r="AB40" i="12" s="1"/>
  <c r="U41" i="5"/>
  <c r="AB41" i="12" s="1"/>
  <c r="U42" i="5"/>
  <c r="AB42" i="12" s="1"/>
  <c r="U43" i="5"/>
  <c r="AB43" i="12" s="1"/>
  <c r="U44" i="5"/>
  <c r="AB44" i="12" s="1"/>
  <c r="U45" i="5"/>
  <c r="AB45" i="12" s="1"/>
  <c r="U46" i="5"/>
  <c r="AB46" i="12" s="1"/>
  <c r="U47" i="5"/>
  <c r="U48" i="5"/>
  <c r="AB48" i="12" s="1"/>
  <c r="U49" i="5"/>
  <c r="AB49" i="12" s="1"/>
  <c r="U50" i="5"/>
  <c r="AB50" i="12" s="1"/>
  <c r="U51" i="5"/>
  <c r="AB51" i="12" s="1"/>
  <c r="U52" i="5"/>
  <c r="AB52" i="12" s="1"/>
  <c r="U53" i="5"/>
  <c r="AB53" i="12" s="1"/>
  <c r="U54" i="5"/>
  <c r="AB54" i="12" s="1"/>
  <c r="U55" i="5"/>
  <c r="AB55" i="12" s="1"/>
  <c r="U56" i="5"/>
  <c r="AB56" i="12" s="1"/>
  <c r="U57" i="5"/>
  <c r="AB57" i="12" s="1"/>
  <c r="U58" i="5"/>
  <c r="AB58" i="12" s="1"/>
  <c r="U59" i="5"/>
  <c r="AB59" i="12" s="1"/>
  <c r="U60" i="5"/>
  <c r="AB60" i="12" s="1"/>
  <c r="U61" i="5"/>
  <c r="AB61" i="12" s="1"/>
  <c r="U62" i="5"/>
  <c r="AB62" i="12" s="1"/>
  <c r="U63" i="5"/>
  <c r="AB63" i="12" s="1"/>
  <c r="U64" i="5"/>
  <c r="AB64" i="12" s="1"/>
  <c r="U65" i="5"/>
  <c r="AB65" i="12" s="1"/>
  <c r="U66" i="5"/>
  <c r="AB66" i="12" s="1"/>
  <c r="U67" i="5"/>
  <c r="AB67" i="12" s="1"/>
  <c r="U68" i="5"/>
  <c r="AB68" i="12" s="1"/>
  <c r="U69" i="5"/>
  <c r="AB69" i="12" s="1"/>
  <c r="U70" i="5"/>
  <c r="AB70" i="12" s="1"/>
  <c r="U71" i="5"/>
  <c r="AB71" i="12" s="1"/>
  <c r="U72" i="5"/>
  <c r="AB72" i="12" s="1"/>
  <c r="U73" i="5"/>
  <c r="AB73" i="12" s="1"/>
  <c r="U74" i="5"/>
  <c r="AB74" i="12" s="1"/>
  <c r="U75" i="5"/>
  <c r="AB75" i="12" s="1"/>
  <c r="U76" i="5"/>
  <c r="AB76" i="12" s="1"/>
  <c r="U77" i="5"/>
  <c r="AB77" i="12" s="1"/>
  <c r="U78" i="5"/>
  <c r="AB78" i="12" s="1"/>
  <c r="U79" i="5"/>
  <c r="AB79" i="12" s="1"/>
  <c r="U80" i="5"/>
  <c r="AB80" i="12" s="1"/>
  <c r="U81" i="5"/>
  <c r="AB81" i="12" s="1"/>
  <c r="U82" i="5"/>
  <c r="AB82" i="12" s="1"/>
  <c r="U83" i="5"/>
  <c r="AB83" i="12" s="1"/>
  <c r="U84" i="5"/>
  <c r="AB84" i="12" s="1"/>
  <c r="U85" i="5"/>
  <c r="AB85" i="12" s="1"/>
  <c r="U86" i="5"/>
  <c r="AB86" i="12" s="1"/>
  <c r="U87" i="5"/>
  <c r="U88" i="5"/>
  <c r="AB88" i="12" s="1"/>
  <c r="U89" i="5"/>
  <c r="AB89" i="12" s="1"/>
  <c r="U90" i="5"/>
  <c r="AB90" i="12" s="1"/>
  <c r="U91" i="5"/>
  <c r="AB91" i="12" s="1"/>
  <c r="U92" i="5"/>
  <c r="AB92" i="12" s="1"/>
  <c r="U93" i="5"/>
  <c r="AB93" i="12" s="1"/>
  <c r="U94" i="5"/>
  <c r="AB94" i="12" s="1"/>
  <c r="U95" i="5"/>
  <c r="AB95" i="12" s="1"/>
  <c r="U96" i="5"/>
  <c r="AB96" i="12" s="1"/>
  <c r="U97" i="5"/>
  <c r="AB97" i="12" s="1"/>
  <c r="U98" i="5"/>
  <c r="AB98" i="12" s="1"/>
  <c r="U99" i="5"/>
  <c r="AB99" i="12" s="1"/>
  <c r="U100" i="5"/>
  <c r="AB100" i="12" s="1"/>
  <c r="U101" i="5"/>
  <c r="AB101" i="12" s="1"/>
  <c r="U102" i="5"/>
  <c r="AB102" i="12" s="1"/>
  <c r="U103" i="5"/>
  <c r="AB103" i="12" s="1"/>
  <c r="U104" i="5"/>
  <c r="AB104" i="12" s="1"/>
  <c r="U105" i="5"/>
  <c r="AB105" i="12" s="1"/>
  <c r="U106" i="5"/>
  <c r="AB106" i="12" s="1"/>
  <c r="U107" i="5"/>
  <c r="AB107" i="12" s="1"/>
  <c r="U108" i="5"/>
  <c r="AB108" i="12" s="1"/>
  <c r="U109" i="5"/>
  <c r="AB109" i="12" s="1"/>
  <c r="AB2" i="12"/>
  <c r="U3" i="12"/>
  <c r="U4" i="12"/>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2" i="12"/>
  <c r="AB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47" i="12"/>
  <c r="AB87" i="12"/>
  <c r="O3" i="12"/>
  <c r="P3" i="12"/>
  <c r="Q3" i="12"/>
  <c r="R3" i="12"/>
  <c r="O4" i="12"/>
  <c r="P4" i="12"/>
  <c r="Q4" i="12"/>
  <c r="R4" i="12"/>
  <c r="O5" i="12"/>
  <c r="P5" i="12"/>
  <c r="Q5" i="12"/>
  <c r="R5" i="12"/>
  <c r="O6" i="12"/>
  <c r="P6" i="12"/>
  <c r="Q6" i="12"/>
  <c r="R6" i="12"/>
  <c r="O7" i="12"/>
  <c r="P7" i="12"/>
  <c r="Q7" i="12"/>
  <c r="R7" i="12"/>
  <c r="O8" i="12"/>
  <c r="P8" i="12"/>
  <c r="Q8" i="12"/>
  <c r="R8" i="12"/>
  <c r="O9" i="12"/>
  <c r="P9" i="12"/>
  <c r="Q9" i="12"/>
  <c r="R9" i="12"/>
  <c r="O10" i="12"/>
  <c r="P10" i="12"/>
  <c r="Q10" i="12"/>
  <c r="R10" i="12"/>
  <c r="O11" i="12"/>
  <c r="P11" i="12"/>
  <c r="Q11" i="12"/>
  <c r="R11" i="12"/>
  <c r="O12" i="12"/>
  <c r="P12" i="12"/>
  <c r="Q12" i="12"/>
  <c r="R12" i="12"/>
  <c r="O13" i="12"/>
  <c r="P13" i="12"/>
  <c r="Q13" i="12"/>
  <c r="R13" i="12"/>
  <c r="O14" i="12"/>
  <c r="P14" i="12"/>
  <c r="Q14" i="12"/>
  <c r="R14" i="12"/>
  <c r="O15" i="12"/>
  <c r="P15" i="12"/>
  <c r="Q15" i="12"/>
  <c r="R15" i="12"/>
  <c r="O16" i="12"/>
  <c r="P16" i="12"/>
  <c r="Q16" i="12"/>
  <c r="R16" i="12"/>
  <c r="O17" i="12"/>
  <c r="P17" i="12"/>
  <c r="Q17" i="12"/>
  <c r="R17" i="12"/>
  <c r="O18" i="12"/>
  <c r="P18" i="12"/>
  <c r="Q18" i="12"/>
  <c r="R18" i="12"/>
  <c r="O19" i="12"/>
  <c r="P19" i="12"/>
  <c r="Q19" i="12"/>
  <c r="R19" i="12"/>
  <c r="O20" i="12"/>
  <c r="P20" i="12"/>
  <c r="Q20" i="12"/>
  <c r="R20" i="12"/>
  <c r="O21" i="12"/>
  <c r="P21" i="12"/>
  <c r="Q21" i="12"/>
  <c r="R21" i="12"/>
  <c r="O22" i="12"/>
  <c r="P22" i="12"/>
  <c r="Q22" i="12"/>
  <c r="R22" i="12"/>
  <c r="O23" i="12"/>
  <c r="P23" i="12"/>
  <c r="Q23" i="12"/>
  <c r="R23" i="12"/>
  <c r="O24" i="12"/>
  <c r="P24" i="12"/>
  <c r="Q24" i="12"/>
  <c r="R24" i="12"/>
  <c r="O25" i="12"/>
  <c r="P25" i="12"/>
  <c r="Q25" i="12"/>
  <c r="R25" i="12"/>
  <c r="O26" i="12"/>
  <c r="P26" i="12"/>
  <c r="Q26" i="12"/>
  <c r="R26" i="12"/>
  <c r="O27" i="12"/>
  <c r="P27" i="12"/>
  <c r="Q27" i="12"/>
  <c r="R27" i="12"/>
  <c r="O28" i="12"/>
  <c r="P28" i="12"/>
  <c r="Q28" i="12"/>
  <c r="R28" i="12"/>
  <c r="O29" i="12"/>
  <c r="P29" i="12"/>
  <c r="Q29" i="12"/>
  <c r="R29" i="12"/>
  <c r="O30" i="12"/>
  <c r="P30" i="12"/>
  <c r="Q30" i="12"/>
  <c r="R30" i="12"/>
  <c r="O31" i="12"/>
  <c r="P31" i="12"/>
  <c r="Q31" i="12"/>
  <c r="R31" i="12"/>
  <c r="O32" i="12"/>
  <c r="P32" i="12"/>
  <c r="Q32" i="12"/>
  <c r="R32" i="12"/>
  <c r="O33" i="12"/>
  <c r="P33" i="12"/>
  <c r="Q33" i="12"/>
  <c r="R33" i="12"/>
  <c r="O34" i="12"/>
  <c r="P34" i="12"/>
  <c r="Q34" i="12"/>
  <c r="R34" i="12"/>
  <c r="O35" i="12"/>
  <c r="P35" i="12"/>
  <c r="Q35" i="12"/>
  <c r="R35" i="12"/>
  <c r="O36" i="12"/>
  <c r="P36" i="12"/>
  <c r="Q36" i="12"/>
  <c r="R36" i="12"/>
  <c r="O37" i="12"/>
  <c r="P37" i="12"/>
  <c r="Q37" i="12"/>
  <c r="R37" i="12"/>
  <c r="O38" i="12"/>
  <c r="P38" i="12"/>
  <c r="Q38" i="12"/>
  <c r="R38" i="12"/>
  <c r="O39" i="12"/>
  <c r="P39" i="12"/>
  <c r="Q39" i="12"/>
  <c r="R39" i="12"/>
  <c r="O40" i="12"/>
  <c r="P40" i="12"/>
  <c r="Q40" i="12"/>
  <c r="R40" i="12"/>
  <c r="O41" i="12"/>
  <c r="P41" i="12"/>
  <c r="Q41" i="12"/>
  <c r="R41" i="12"/>
  <c r="O42" i="12"/>
  <c r="P42" i="12"/>
  <c r="Q42" i="12"/>
  <c r="R42" i="12"/>
  <c r="O43" i="12"/>
  <c r="P43" i="12"/>
  <c r="Q43" i="12"/>
  <c r="R43" i="12"/>
  <c r="O44" i="12"/>
  <c r="P44" i="12"/>
  <c r="Q44" i="12"/>
  <c r="R44" i="12"/>
  <c r="O45" i="12"/>
  <c r="P45" i="12"/>
  <c r="Q45" i="12"/>
  <c r="R45" i="12"/>
  <c r="O46" i="12"/>
  <c r="P46" i="12"/>
  <c r="Q46" i="12"/>
  <c r="R46" i="12"/>
  <c r="O47" i="12"/>
  <c r="P47" i="12"/>
  <c r="Q47" i="12"/>
  <c r="R47" i="12"/>
  <c r="O48" i="12"/>
  <c r="P48" i="12"/>
  <c r="Q48" i="12"/>
  <c r="R48" i="12"/>
  <c r="O49" i="12"/>
  <c r="P49" i="12"/>
  <c r="Q49" i="12"/>
  <c r="R49" i="12"/>
  <c r="O50" i="12"/>
  <c r="P50" i="12"/>
  <c r="Q50" i="12"/>
  <c r="R50" i="12"/>
  <c r="O51" i="12"/>
  <c r="P51" i="12"/>
  <c r="Q51" i="12"/>
  <c r="R51" i="12"/>
  <c r="O52" i="12"/>
  <c r="P52" i="12"/>
  <c r="Q52" i="12"/>
  <c r="R52" i="12"/>
  <c r="O53" i="12"/>
  <c r="P53" i="12"/>
  <c r="Q53" i="12"/>
  <c r="R53" i="12"/>
  <c r="O54" i="12"/>
  <c r="P54" i="12"/>
  <c r="Q54" i="12"/>
  <c r="R54" i="12"/>
  <c r="O55" i="12"/>
  <c r="P55" i="12"/>
  <c r="Q55" i="12"/>
  <c r="R55" i="12"/>
  <c r="O56" i="12"/>
  <c r="P56" i="12"/>
  <c r="Q56" i="12"/>
  <c r="R56" i="12"/>
  <c r="O57" i="12"/>
  <c r="P57" i="12"/>
  <c r="Q57" i="12"/>
  <c r="R57" i="12"/>
  <c r="O58" i="12"/>
  <c r="P58" i="12"/>
  <c r="Q58" i="12"/>
  <c r="R58" i="12"/>
  <c r="O59" i="12"/>
  <c r="P59" i="12"/>
  <c r="Q59" i="12"/>
  <c r="R59" i="12"/>
  <c r="O60" i="12"/>
  <c r="P60" i="12"/>
  <c r="Q60" i="12"/>
  <c r="R60" i="12"/>
  <c r="O61" i="12"/>
  <c r="P61" i="12"/>
  <c r="Q61" i="12"/>
  <c r="R61" i="12"/>
  <c r="O62" i="12"/>
  <c r="P62" i="12"/>
  <c r="Q62" i="12"/>
  <c r="R62" i="12"/>
  <c r="O63" i="12"/>
  <c r="P63" i="12"/>
  <c r="Q63" i="12"/>
  <c r="R63" i="12"/>
  <c r="O64" i="12"/>
  <c r="P64" i="12"/>
  <c r="Q64" i="12"/>
  <c r="R64" i="12"/>
  <c r="O65" i="12"/>
  <c r="P65" i="12"/>
  <c r="Q65" i="12"/>
  <c r="R65" i="12"/>
  <c r="O66" i="12"/>
  <c r="P66" i="12"/>
  <c r="Q66" i="12"/>
  <c r="R66" i="12"/>
  <c r="O67" i="12"/>
  <c r="P67" i="12"/>
  <c r="Q67" i="12"/>
  <c r="R67" i="12"/>
  <c r="O68" i="12"/>
  <c r="P68" i="12"/>
  <c r="Q68" i="12"/>
  <c r="R68" i="12"/>
  <c r="O69" i="12"/>
  <c r="P69" i="12"/>
  <c r="Q69" i="12"/>
  <c r="R69" i="12"/>
  <c r="O70" i="12"/>
  <c r="P70" i="12"/>
  <c r="Q70" i="12"/>
  <c r="R70" i="12"/>
  <c r="O71" i="12"/>
  <c r="P71" i="12"/>
  <c r="Q71" i="12"/>
  <c r="R71" i="12"/>
  <c r="O72" i="12"/>
  <c r="P72" i="12"/>
  <c r="Q72" i="12"/>
  <c r="R72" i="12"/>
  <c r="O73" i="12"/>
  <c r="P73" i="12"/>
  <c r="Q73" i="12"/>
  <c r="R73" i="12"/>
  <c r="O74" i="12"/>
  <c r="P74" i="12"/>
  <c r="Q74" i="12"/>
  <c r="R74" i="12"/>
  <c r="O75" i="12"/>
  <c r="P75" i="12"/>
  <c r="Q75" i="12"/>
  <c r="R75" i="12"/>
  <c r="O76" i="12"/>
  <c r="P76" i="12"/>
  <c r="Q76" i="12"/>
  <c r="R76" i="12"/>
  <c r="O77" i="12"/>
  <c r="P77" i="12"/>
  <c r="Q77" i="12"/>
  <c r="R77" i="12"/>
  <c r="O78" i="12"/>
  <c r="P78" i="12"/>
  <c r="Q78" i="12"/>
  <c r="R78" i="12"/>
  <c r="O79" i="12"/>
  <c r="P79" i="12"/>
  <c r="Q79" i="12"/>
  <c r="R79" i="12"/>
  <c r="O80" i="12"/>
  <c r="P80" i="12"/>
  <c r="Q80" i="12"/>
  <c r="R80" i="12"/>
  <c r="O81" i="12"/>
  <c r="P81" i="12"/>
  <c r="Q81" i="12"/>
  <c r="R81" i="12"/>
  <c r="O82" i="12"/>
  <c r="P82" i="12"/>
  <c r="Q82" i="12"/>
  <c r="R82" i="12"/>
  <c r="O83" i="12"/>
  <c r="P83" i="12"/>
  <c r="Q83" i="12"/>
  <c r="R83" i="12"/>
  <c r="O84" i="12"/>
  <c r="P84" i="12"/>
  <c r="Q84" i="12"/>
  <c r="R84" i="12"/>
  <c r="O85" i="12"/>
  <c r="P85" i="12"/>
  <c r="Q85" i="12"/>
  <c r="R85" i="12"/>
  <c r="O86" i="12"/>
  <c r="P86" i="12"/>
  <c r="Q86" i="12"/>
  <c r="R86" i="12"/>
  <c r="O87" i="12"/>
  <c r="P87" i="12"/>
  <c r="Q87" i="12"/>
  <c r="R87" i="12"/>
  <c r="O88" i="12"/>
  <c r="P88" i="12"/>
  <c r="Q88" i="12"/>
  <c r="R88" i="12"/>
  <c r="O89" i="12"/>
  <c r="P89" i="12"/>
  <c r="Q89" i="12"/>
  <c r="R89" i="12"/>
  <c r="O90" i="12"/>
  <c r="P90" i="12"/>
  <c r="Q90" i="12"/>
  <c r="R90" i="12"/>
  <c r="O91" i="12"/>
  <c r="P91" i="12"/>
  <c r="Q91" i="12"/>
  <c r="R91" i="12"/>
  <c r="O92" i="12"/>
  <c r="P92" i="12"/>
  <c r="Q92" i="12"/>
  <c r="R92" i="12"/>
  <c r="O93" i="12"/>
  <c r="P93" i="12"/>
  <c r="Q93" i="12"/>
  <c r="R93" i="12"/>
  <c r="O94" i="12"/>
  <c r="P94" i="12"/>
  <c r="Q94" i="12"/>
  <c r="R94" i="12"/>
  <c r="O95" i="12"/>
  <c r="P95" i="12"/>
  <c r="Q95" i="12"/>
  <c r="R95" i="12"/>
  <c r="O96" i="12"/>
  <c r="P96" i="12"/>
  <c r="Q96" i="12"/>
  <c r="R96" i="12"/>
  <c r="O97" i="12"/>
  <c r="P97" i="12"/>
  <c r="Q97" i="12"/>
  <c r="R97" i="12"/>
  <c r="O98" i="12"/>
  <c r="P98" i="12"/>
  <c r="Q98" i="12"/>
  <c r="R98" i="12"/>
  <c r="O99" i="12"/>
  <c r="P99" i="12"/>
  <c r="Q99" i="12"/>
  <c r="R99" i="12"/>
  <c r="O100" i="12"/>
  <c r="P100" i="12"/>
  <c r="Q100" i="12"/>
  <c r="R100" i="12"/>
  <c r="O101" i="12"/>
  <c r="P101" i="12"/>
  <c r="Q101" i="12"/>
  <c r="R101" i="12"/>
  <c r="O102" i="12"/>
  <c r="P102" i="12"/>
  <c r="Q102" i="12"/>
  <c r="R102" i="12"/>
  <c r="O103" i="12"/>
  <c r="P103" i="12"/>
  <c r="Q103" i="12"/>
  <c r="R103" i="12"/>
  <c r="O104" i="12"/>
  <c r="P104" i="12"/>
  <c r="Q104" i="12"/>
  <c r="R104" i="12"/>
  <c r="O105" i="12"/>
  <c r="P105" i="12"/>
  <c r="Q105" i="12"/>
  <c r="R105" i="12"/>
  <c r="O106" i="12"/>
  <c r="P106" i="12"/>
  <c r="Q106" i="12"/>
  <c r="R106" i="12"/>
  <c r="O107" i="12"/>
  <c r="P107" i="12"/>
  <c r="Q107" i="12"/>
  <c r="R107" i="12"/>
  <c r="O108" i="12"/>
  <c r="P108" i="12"/>
  <c r="Q108" i="12"/>
  <c r="R108" i="12"/>
  <c r="O109" i="12"/>
  <c r="P109" i="12"/>
  <c r="Q109" i="12"/>
  <c r="R109" i="12"/>
  <c r="P2" i="12"/>
  <c r="Q2" i="12"/>
  <c r="R2" i="12"/>
  <c r="O2" i="12"/>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2" i="12"/>
  <c r="F2" i="12"/>
  <c r="CP11" i="27" l="1"/>
  <c r="CQ11" i="27" s="1"/>
  <c r="CK12" i="27"/>
  <c r="CN11" i="27"/>
  <c r="CO11" i="27"/>
  <c r="AU10" i="27"/>
  <c r="AS10" i="27"/>
  <c r="AT10" i="27"/>
  <c r="AW10" i="27"/>
  <c r="AX10" i="27" s="1"/>
  <c r="AR10" i="27"/>
  <c r="P32" i="13"/>
  <c r="M32" i="13"/>
  <c r="M33" i="13" s="1"/>
  <c r="J32" i="13"/>
  <c r="J33" i="13" s="1"/>
  <c r="K32" i="13"/>
  <c r="K33" i="13" s="1"/>
  <c r="L32" i="13"/>
  <c r="L33" i="13" s="1"/>
  <c r="N39" i="13"/>
  <c r="N40" i="13" s="1"/>
  <c r="P34" i="13"/>
  <c r="J39" i="13"/>
  <c r="J40" i="13" s="1"/>
  <c r="N34" i="13"/>
  <c r="N35" i="13" s="1"/>
  <c r="O39" i="13"/>
  <c r="O40" i="13" s="1"/>
  <c r="P39" i="13"/>
  <c r="P40" i="13" s="1"/>
  <c r="Q39" i="13"/>
  <c r="Q40" i="13" s="1"/>
  <c r="J34" i="13"/>
  <c r="J35" i="13" s="1"/>
  <c r="K34" i="13"/>
  <c r="K35" i="13" s="1"/>
  <c r="L37" i="13"/>
  <c r="L38" i="13" s="1"/>
  <c r="K37" i="13"/>
  <c r="K38" i="13" s="1"/>
  <c r="R37" i="13"/>
  <c r="R38" i="13" s="1"/>
  <c r="J37" i="13"/>
  <c r="J38" i="13" s="1"/>
  <c r="M37" i="13"/>
  <c r="M38" i="13" s="1"/>
  <c r="Q37" i="13"/>
  <c r="Q38" i="13" s="1"/>
  <c r="P37" i="13"/>
  <c r="P38" i="13" s="1"/>
  <c r="O37" i="13"/>
  <c r="O38" i="13" s="1"/>
  <c r="N37" i="13"/>
  <c r="N38" i="13" s="1"/>
  <c r="R39" i="13"/>
  <c r="R40" i="13" s="1"/>
  <c r="L34" i="13"/>
  <c r="L35" i="13" s="1"/>
  <c r="K39" i="13"/>
  <c r="K40" i="13" s="1"/>
  <c r="M34" i="13"/>
  <c r="M35" i="13" s="1"/>
  <c r="L39" i="13"/>
  <c r="L40" i="13" s="1"/>
  <c r="O32" i="13"/>
  <c r="O33" i="13" s="1"/>
  <c r="N32" i="13"/>
  <c r="N33" i="13" s="1"/>
  <c r="M39" i="13"/>
  <c r="M40" i="13" s="1"/>
  <c r="O34" i="13"/>
  <c r="O35" i="13" s="1"/>
  <c r="J86" i="12"/>
  <c r="J87" i="12"/>
  <c r="J88" i="12"/>
  <c r="J89" i="12"/>
  <c r="J90" i="12"/>
  <c r="J91" i="12"/>
  <c r="J92" i="12"/>
  <c r="J93" i="12"/>
  <c r="J94" i="12"/>
  <c r="J95" i="12"/>
  <c r="J96" i="12"/>
  <c r="J97" i="12"/>
  <c r="J98" i="12"/>
  <c r="J99" i="12"/>
  <c r="J100" i="12"/>
  <c r="J101" i="12"/>
  <c r="J102" i="12"/>
  <c r="J103" i="12"/>
  <c r="J104" i="12"/>
  <c r="J105" i="12"/>
  <c r="J106" i="12"/>
  <c r="J107" i="12"/>
  <c r="J108" i="12"/>
  <c r="J109" i="12"/>
  <c r="J3" i="12"/>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2"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2" i="12"/>
  <c r="K3"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I85" i="12"/>
  <c r="F86" i="12"/>
  <c r="G86" i="12"/>
  <c r="H86" i="12"/>
  <c r="I86" i="12"/>
  <c r="F87" i="12"/>
  <c r="G87" i="12"/>
  <c r="H87" i="12"/>
  <c r="I87" i="12"/>
  <c r="F88" i="12"/>
  <c r="G88" i="12"/>
  <c r="H88" i="12"/>
  <c r="I88" i="12"/>
  <c r="F89" i="12"/>
  <c r="G89" i="12"/>
  <c r="H89" i="12"/>
  <c r="I89" i="12"/>
  <c r="F90" i="12"/>
  <c r="G90" i="12"/>
  <c r="H90" i="12"/>
  <c r="I90" i="12"/>
  <c r="F91" i="12"/>
  <c r="G91" i="12"/>
  <c r="H91" i="12"/>
  <c r="I91" i="12"/>
  <c r="F92" i="12"/>
  <c r="G92" i="12"/>
  <c r="H92" i="12"/>
  <c r="I92" i="12"/>
  <c r="F93" i="12"/>
  <c r="G93" i="12"/>
  <c r="H93" i="12"/>
  <c r="I93" i="12"/>
  <c r="F94" i="12"/>
  <c r="G94" i="12"/>
  <c r="H94" i="12"/>
  <c r="I94" i="12"/>
  <c r="F95" i="12"/>
  <c r="G95" i="12"/>
  <c r="H95" i="12"/>
  <c r="I95" i="12"/>
  <c r="F96" i="12"/>
  <c r="G96" i="12"/>
  <c r="H96" i="12"/>
  <c r="I96" i="12"/>
  <c r="F97" i="12"/>
  <c r="G97" i="12"/>
  <c r="H97" i="12"/>
  <c r="I97" i="12"/>
  <c r="F98" i="12"/>
  <c r="G98" i="12"/>
  <c r="H98" i="12"/>
  <c r="I98" i="12"/>
  <c r="F99" i="12"/>
  <c r="G99" i="12"/>
  <c r="H99" i="12"/>
  <c r="I99" i="12"/>
  <c r="F100" i="12"/>
  <c r="G100" i="12"/>
  <c r="H100" i="12"/>
  <c r="I100" i="12"/>
  <c r="F101" i="12"/>
  <c r="G101" i="12"/>
  <c r="H101" i="12"/>
  <c r="I101" i="12"/>
  <c r="F102" i="12"/>
  <c r="G102" i="12"/>
  <c r="H102" i="12"/>
  <c r="I102" i="12"/>
  <c r="F103" i="12"/>
  <c r="G103" i="12"/>
  <c r="H103" i="12"/>
  <c r="I103" i="12"/>
  <c r="F104" i="12"/>
  <c r="G104" i="12"/>
  <c r="H104" i="12"/>
  <c r="I104" i="12"/>
  <c r="F105" i="12"/>
  <c r="G105" i="12"/>
  <c r="H105" i="12"/>
  <c r="I105" i="12"/>
  <c r="F106" i="12"/>
  <c r="G106" i="12"/>
  <c r="H106" i="12"/>
  <c r="I106" i="12"/>
  <c r="F107" i="12"/>
  <c r="G107" i="12"/>
  <c r="H107" i="12"/>
  <c r="I107" i="12"/>
  <c r="F108" i="12"/>
  <c r="G108" i="12"/>
  <c r="H108" i="12"/>
  <c r="I108" i="12"/>
  <c r="F109" i="12"/>
  <c r="G109" i="12"/>
  <c r="H109" i="12"/>
  <c r="I109" i="12"/>
  <c r="F3" i="12"/>
  <c r="G3" i="12"/>
  <c r="H3" i="12"/>
  <c r="I3" i="12"/>
  <c r="F4" i="12"/>
  <c r="G4" i="12"/>
  <c r="H4" i="12"/>
  <c r="I4" i="12"/>
  <c r="F5" i="12"/>
  <c r="G5" i="12"/>
  <c r="H5" i="12"/>
  <c r="I5" i="12"/>
  <c r="F6" i="12"/>
  <c r="G6" i="12"/>
  <c r="H6" i="12"/>
  <c r="I6" i="12"/>
  <c r="F7" i="12"/>
  <c r="G7" i="12"/>
  <c r="H7" i="12"/>
  <c r="I7" i="12"/>
  <c r="F8" i="12"/>
  <c r="G8" i="12"/>
  <c r="H8" i="12"/>
  <c r="I8" i="12"/>
  <c r="F9" i="12"/>
  <c r="G9" i="12"/>
  <c r="H9" i="12"/>
  <c r="I9" i="12"/>
  <c r="F10" i="12"/>
  <c r="G10" i="12"/>
  <c r="H10" i="12"/>
  <c r="I10" i="12"/>
  <c r="F11" i="12"/>
  <c r="G11" i="12"/>
  <c r="H11" i="12"/>
  <c r="I11" i="12"/>
  <c r="F12" i="12"/>
  <c r="G12" i="12"/>
  <c r="H12" i="12"/>
  <c r="I12" i="12"/>
  <c r="F13" i="12"/>
  <c r="G13" i="12"/>
  <c r="H13" i="12"/>
  <c r="I13" i="12"/>
  <c r="F14" i="12"/>
  <c r="G14" i="12"/>
  <c r="H14" i="12"/>
  <c r="I14" i="12"/>
  <c r="F15" i="12"/>
  <c r="G15" i="12"/>
  <c r="H15" i="12"/>
  <c r="I15" i="12"/>
  <c r="F16" i="12"/>
  <c r="G16" i="12"/>
  <c r="H16" i="12"/>
  <c r="I16" i="12"/>
  <c r="F17" i="12"/>
  <c r="G17" i="12"/>
  <c r="H17" i="12"/>
  <c r="I17" i="12"/>
  <c r="F18" i="12"/>
  <c r="G18" i="12"/>
  <c r="H18" i="12"/>
  <c r="I18" i="12"/>
  <c r="F19" i="12"/>
  <c r="G19" i="12"/>
  <c r="H19" i="12"/>
  <c r="I19" i="12"/>
  <c r="F20" i="12"/>
  <c r="G20" i="12"/>
  <c r="H20" i="12"/>
  <c r="I20" i="12"/>
  <c r="F21" i="12"/>
  <c r="G21" i="12"/>
  <c r="H21" i="12"/>
  <c r="I21" i="12"/>
  <c r="F22" i="12"/>
  <c r="G22" i="12"/>
  <c r="H22" i="12"/>
  <c r="I22" i="12"/>
  <c r="F23" i="12"/>
  <c r="G23" i="12"/>
  <c r="H23" i="12"/>
  <c r="I23" i="12"/>
  <c r="F24" i="12"/>
  <c r="G24" i="12"/>
  <c r="H24" i="12"/>
  <c r="I24" i="12"/>
  <c r="F25" i="12"/>
  <c r="G25" i="12"/>
  <c r="H25" i="12"/>
  <c r="I25" i="12"/>
  <c r="F26" i="12"/>
  <c r="G26" i="12"/>
  <c r="H26" i="12"/>
  <c r="I26" i="12"/>
  <c r="F27" i="12"/>
  <c r="G27" i="12"/>
  <c r="H27" i="12"/>
  <c r="I27" i="12"/>
  <c r="F28" i="12"/>
  <c r="G28" i="12"/>
  <c r="H28" i="12"/>
  <c r="I28" i="12"/>
  <c r="F29" i="12"/>
  <c r="G29" i="12"/>
  <c r="H29" i="12"/>
  <c r="I29" i="12"/>
  <c r="F30" i="12"/>
  <c r="G30" i="12"/>
  <c r="H30" i="12"/>
  <c r="I30" i="12"/>
  <c r="F31" i="12"/>
  <c r="G31" i="12"/>
  <c r="H31" i="12"/>
  <c r="I31" i="12"/>
  <c r="F32" i="12"/>
  <c r="G32" i="12"/>
  <c r="H32" i="12"/>
  <c r="I32" i="12"/>
  <c r="F33" i="12"/>
  <c r="G33" i="12"/>
  <c r="H33" i="12"/>
  <c r="I33" i="12"/>
  <c r="F34" i="12"/>
  <c r="G34" i="12"/>
  <c r="H34" i="12"/>
  <c r="I34" i="12"/>
  <c r="F35" i="12"/>
  <c r="G35" i="12"/>
  <c r="H35" i="12"/>
  <c r="I35" i="12"/>
  <c r="F36" i="12"/>
  <c r="G36" i="12"/>
  <c r="H36" i="12"/>
  <c r="I36" i="12"/>
  <c r="F37" i="12"/>
  <c r="G37" i="12"/>
  <c r="H37" i="12"/>
  <c r="I37" i="12"/>
  <c r="F38" i="12"/>
  <c r="G38" i="12"/>
  <c r="H38" i="12"/>
  <c r="I38" i="12"/>
  <c r="F39" i="12"/>
  <c r="G39" i="12"/>
  <c r="H39" i="12"/>
  <c r="I39" i="12"/>
  <c r="F40" i="12"/>
  <c r="G40" i="12"/>
  <c r="H40" i="12"/>
  <c r="I40" i="12"/>
  <c r="F41" i="12"/>
  <c r="G41" i="12"/>
  <c r="H41" i="12"/>
  <c r="I41" i="12"/>
  <c r="F42" i="12"/>
  <c r="G42" i="12"/>
  <c r="H42" i="12"/>
  <c r="I42" i="12"/>
  <c r="F43" i="12"/>
  <c r="G43" i="12"/>
  <c r="H43" i="12"/>
  <c r="I43" i="12"/>
  <c r="F44" i="12"/>
  <c r="G44" i="12"/>
  <c r="H44" i="12"/>
  <c r="I44" i="12"/>
  <c r="F45" i="12"/>
  <c r="G45" i="12"/>
  <c r="H45" i="12"/>
  <c r="I45" i="12"/>
  <c r="F46" i="12"/>
  <c r="G46" i="12"/>
  <c r="H46" i="12"/>
  <c r="I46" i="12"/>
  <c r="F47" i="12"/>
  <c r="G47" i="12"/>
  <c r="H47" i="12"/>
  <c r="I47" i="12"/>
  <c r="F48" i="12"/>
  <c r="G48" i="12"/>
  <c r="H48" i="12"/>
  <c r="I48" i="12"/>
  <c r="F49" i="12"/>
  <c r="G49" i="12"/>
  <c r="H49" i="12"/>
  <c r="I49" i="12"/>
  <c r="F50" i="12"/>
  <c r="G50" i="12"/>
  <c r="H50" i="12"/>
  <c r="I50" i="12"/>
  <c r="F51" i="12"/>
  <c r="G51" i="12"/>
  <c r="H51" i="12"/>
  <c r="I51" i="12"/>
  <c r="F52" i="12"/>
  <c r="G52" i="12"/>
  <c r="H52" i="12"/>
  <c r="I52" i="12"/>
  <c r="F53" i="12"/>
  <c r="G53" i="12"/>
  <c r="H53" i="12"/>
  <c r="I53" i="12"/>
  <c r="F54" i="12"/>
  <c r="G54" i="12"/>
  <c r="H54" i="12"/>
  <c r="I54" i="12"/>
  <c r="F55" i="12"/>
  <c r="G55" i="12"/>
  <c r="H55" i="12"/>
  <c r="I55" i="12"/>
  <c r="F56" i="12"/>
  <c r="G56" i="12"/>
  <c r="H56" i="12"/>
  <c r="I56" i="12"/>
  <c r="F57" i="12"/>
  <c r="G57" i="12"/>
  <c r="H57" i="12"/>
  <c r="I57" i="12"/>
  <c r="F58" i="12"/>
  <c r="G58" i="12"/>
  <c r="H58" i="12"/>
  <c r="I58" i="12"/>
  <c r="F59" i="12"/>
  <c r="G59" i="12"/>
  <c r="H59" i="12"/>
  <c r="I59" i="12"/>
  <c r="F60" i="12"/>
  <c r="G60" i="12"/>
  <c r="H60" i="12"/>
  <c r="I60" i="12"/>
  <c r="F61" i="12"/>
  <c r="G61" i="12"/>
  <c r="H61" i="12"/>
  <c r="I61" i="12"/>
  <c r="F62" i="12"/>
  <c r="G62" i="12"/>
  <c r="H62" i="12"/>
  <c r="I62" i="12"/>
  <c r="F63" i="12"/>
  <c r="G63" i="12"/>
  <c r="H63" i="12"/>
  <c r="I63" i="12"/>
  <c r="F64" i="12"/>
  <c r="G64" i="12"/>
  <c r="H64" i="12"/>
  <c r="I64" i="12"/>
  <c r="F65" i="12"/>
  <c r="G65" i="12"/>
  <c r="H65" i="12"/>
  <c r="I65" i="12"/>
  <c r="F66" i="12"/>
  <c r="G66" i="12"/>
  <c r="H66" i="12"/>
  <c r="I66" i="12"/>
  <c r="F67" i="12"/>
  <c r="G67" i="12"/>
  <c r="H67" i="12"/>
  <c r="I67" i="12"/>
  <c r="F68" i="12"/>
  <c r="G68" i="12"/>
  <c r="H68" i="12"/>
  <c r="I68" i="12"/>
  <c r="F69" i="12"/>
  <c r="G69" i="12"/>
  <c r="H69" i="12"/>
  <c r="I69" i="12"/>
  <c r="F70" i="12"/>
  <c r="G70" i="12"/>
  <c r="H70" i="12"/>
  <c r="I70" i="12"/>
  <c r="F71" i="12"/>
  <c r="G71" i="12"/>
  <c r="H71" i="12"/>
  <c r="I71" i="12"/>
  <c r="F72" i="12"/>
  <c r="G72" i="12"/>
  <c r="H72" i="12"/>
  <c r="I72" i="12"/>
  <c r="F73" i="12"/>
  <c r="G73" i="12"/>
  <c r="H73" i="12"/>
  <c r="I73" i="12"/>
  <c r="F74" i="12"/>
  <c r="G74" i="12"/>
  <c r="H74" i="12"/>
  <c r="I74" i="12"/>
  <c r="F75" i="12"/>
  <c r="G75" i="12"/>
  <c r="H75" i="12"/>
  <c r="I75" i="12"/>
  <c r="F76" i="12"/>
  <c r="G76" i="12"/>
  <c r="H76" i="12"/>
  <c r="I76" i="12"/>
  <c r="F77" i="12"/>
  <c r="G77" i="12"/>
  <c r="H77" i="12"/>
  <c r="I77" i="12"/>
  <c r="F78" i="12"/>
  <c r="G78" i="12"/>
  <c r="H78" i="12"/>
  <c r="I78" i="12"/>
  <c r="F79" i="12"/>
  <c r="G79" i="12"/>
  <c r="H79" i="12"/>
  <c r="I79" i="12"/>
  <c r="F80" i="12"/>
  <c r="G80" i="12"/>
  <c r="H80" i="12"/>
  <c r="I80" i="12"/>
  <c r="F81" i="12"/>
  <c r="G81" i="12"/>
  <c r="H81" i="12"/>
  <c r="I81" i="12"/>
  <c r="F82" i="12"/>
  <c r="G82" i="12"/>
  <c r="H82" i="12"/>
  <c r="I82" i="12"/>
  <c r="F83" i="12"/>
  <c r="G83" i="12"/>
  <c r="H83" i="12"/>
  <c r="I83" i="12"/>
  <c r="F84" i="12"/>
  <c r="G84" i="12"/>
  <c r="H84" i="12"/>
  <c r="I84" i="12"/>
  <c r="F85" i="12"/>
  <c r="G85" i="12"/>
  <c r="H85" i="12"/>
  <c r="G2" i="12"/>
  <c r="I2" i="12"/>
  <c r="CP12" i="27" l="1"/>
  <c r="CQ12" i="27" s="1"/>
  <c r="CK13" i="27"/>
  <c r="CN12" i="27"/>
  <c r="CO12" i="27"/>
  <c r="AT11" i="27"/>
  <c r="AS11" i="27"/>
  <c r="AU11" i="27"/>
  <c r="AW11" i="27"/>
  <c r="AX11" i="27" s="1"/>
  <c r="AR11" i="27"/>
  <c r="AV11" i="27"/>
  <c r="AT61" i="11"/>
  <c r="AI62" i="27"/>
  <c r="L62" i="27" s="1"/>
  <c r="AT109" i="11"/>
  <c r="AT107" i="11"/>
  <c r="AJ108" i="27"/>
  <c r="M108" i="27" s="1"/>
  <c r="AH108" i="27"/>
  <c r="K108" i="27" s="1"/>
  <c r="AI108" i="27"/>
  <c r="L108" i="27" s="1"/>
  <c r="AF108" i="27"/>
  <c r="I108" i="27" s="1"/>
  <c r="AG108" i="27"/>
  <c r="J108" i="27" s="1"/>
  <c r="AT105" i="11"/>
  <c r="AJ106" i="27"/>
  <c r="M106" i="27" s="1"/>
  <c r="AH106" i="27"/>
  <c r="K106" i="27" s="1"/>
  <c r="AI106" i="27"/>
  <c r="L106" i="27" s="1"/>
  <c r="AF106" i="27"/>
  <c r="I106" i="27" s="1"/>
  <c r="AG106" i="27"/>
  <c r="J106" i="27" s="1"/>
  <c r="AT103" i="11"/>
  <c r="AJ104" i="27"/>
  <c r="M104" i="27" s="1"/>
  <c r="AG104" i="27"/>
  <c r="J104" i="27" s="1"/>
  <c r="AH104" i="27"/>
  <c r="K104" i="27" s="1"/>
  <c r="AI104" i="27"/>
  <c r="L104" i="27" s="1"/>
  <c r="AF104" i="27"/>
  <c r="I104" i="27" s="1"/>
  <c r="AT101" i="11"/>
  <c r="AJ102" i="27"/>
  <c r="M102" i="27" s="1"/>
  <c r="AH102" i="27"/>
  <c r="K102" i="27" s="1"/>
  <c r="AG102" i="27"/>
  <c r="J102" i="27" s="1"/>
  <c r="AF102" i="27"/>
  <c r="I102" i="27" s="1"/>
  <c r="AI102" i="27"/>
  <c r="L102" i="27" s="1"/>
  <c r="AT99" i="11"/>
  <c r="AJ100" i="27"/>
  <c r="M100" i="27" s="1"/>
  <c r="AF100" i="27"/>
  <c r="I100" i="27" s="1"/>
  <c r="AH100" i="27"/>
  <c r="K100" i="27" s="1"/>
  <c r="AG100" i="27"/>
  <c r="J100" i="27" s="1"/>
  <c r="AI100" i="27"/>
  <c r="L100" i="27" s="1"/>
  <c r="AT97" i="11"/>
  <c r="AJ98" i="27"/>
  <c r="M98" i="27" s="1"/>
  <c r="AI98" i="27"/>
  <c r="L98" i="27" s="1"/>
  <c r="AH98" i="27"/>
  <c r="K98" i="27" s="1"/>
  <c r="AG98" i="27"/>
  <c r="J98" i="27" s="1"/>
  <c r="AF98" i="27"/>
  <c r="I98" i="27" s="1"/>
  <c r="AT95" i="11"/>
  <c r="AJ96" i="27"/>
  <c r="M96" i="27" s="1"/>
  <c r="AH96" i="27"/>
  <c r="K96" i="27" s="1"/>
  <c r="AI96" i="27"/>
  <c r="L96" i="27" s="1"/>
  <c r="AG96" i="27"/>
  <c r="J96" i="27" s="1"/>
  <c r="AF96" i="27"/>
  <c r="I96" i="27" s="1"/>
  <c r="AT93" i="11"/>
  <c r="AJ94" i="27"/>
  <c r="M94" i="27" s="1"/>
  <c r="AF94" i="27"/>
  <c r="I94" i="27" s="1"/>
  <c r="AH94" i="27"/>
  <c r="K94" i="27" s="1"/>
  <c r="AG94" i="27"/>
  <c r="J94" i="27" s="1"/>
  <c r="AI94" i="27"/>
  <c r="L94" i="27" s="1"/>
  <c r="AT91" i="11"/>
  <c r="AJ92" i="27"/>
  <c r="M92" i="27" s="1"/>
  <c r="AF92" i="27"/>
  <c r="I92" i="27" s="1"/>
  <c r="AI92" i="27"/>
  <c r="L92" i="27" s="1"/>
  <c r="AG92" i="27"/>
  <c r="J92" i="27" s="1"/>
  <c r="AH92" i="27"/>
  <c r="K92" i="27" s="1"/>
  <c r="AT89" i="11"/>
  <c r="AJ90" i="27"/>
  <c r="M90" i="27" s="1"/>
  <c r="AG90" i="27"/>
  <c r="J90" i="27" s="1"/>
  <c r="AH90" i="27"/>
  <c r="K90" i="27" s="1"/>
  <c r="AF90" i="27"/>
  <c r="I90" i="27" s="1"/>
  <c r="AI90" i="27"/>
  <c r="L90" i="27" s="1"/>
  <c r="AT87" i="11"/>
  <c r="AJ88" i="27"/>
  <c r="M88" i="27" s="1"/>
  <c r="AI88" i="27"/>
  <c r="L88" i="27" s="1"/>
  <c r="AF88" i="27"/>
  <c r="I88" i="27" s="1"/>
  <c r="AG88" i="27"/>
  <c r="J88" i="27" s="1"/>
  <c r="AH88" i="27"/>
  <c r="K88" i="27" s="1"/>
  <c r="AT85" i="11"/>
  <c r="AJ86" i="27"/>
  <c r="M86" i="27" s="1"/>
  <c r="AG86" i="27"/>
  <c r="J86" i="27" s="1"/>
  <c r="AH86" i="27"/>
  <c r="K86" i="27" s="1"/>
  <c r="AF86" i="27"/>
  <c r="I86" i="27" s="1"/>
  <c r="AI86" i="27"/>
  <c r="L86" i="27" s="1"/>
  <c r="AT83" i="11"/>
  <c r="AJ84" i="27"/>
  <c r="M84" i="27" s="1"/>
  <c r="AH84" i="27"/>
  <c r="K84" i="27" s="1"/>
  <c r="AG84" i="27"/>
  <c r="J84" i="27" s="1"/>
  <c r="AF84" i="27"/>
  <c r="I84" i="27" s="1"/>
  <c r="AI84" i="27"/>
  <c r="L84" i="27" s="1"/>
  <c r="AT81" i="11"/>
  <c r="AJ82" i="27"/>
  <c r="M82" i="27" s="1"/>
  <c r="AH82" i="27"/>
  <c r="K82" i="27" s="1"/>
  <c r="AF82" i="27"/>
  <c r="I82" i="27" s="1"/>
  <c r="AG82" i="27"/>
  <c r="J82" i="27" s="1"/>
  <c r="AI82" i="27"/>
  <c r="L82" i="27" s="1"/>
  <c r="AT79" i="11"/>
  <c r="AJ80" i="27"/>
  <c r="M80" i="27" s="1"/>
  <c r="AG80" i="27"/>
  <c r="J80" i="27" s="1"/>
  <c r="AH80" i="27"/>
  <c r="K80" i="27" s="1"/>
  <c r="AI80" i="27"/>
  <c r="L80" i="27" s="1"/>
  <c r="AF80" i="27"/>
  <c r="I80" i="27" s="1"/>
  <c r="AT77" i="11"/>
  <c r="AJ78" i="27"/>
  <c r="M78" i="27" s="1"/>
  <c r="AF78" i="27"/>
  <c r="I78" i="27" s="1"/>
  <c r="AI78" i="27"/>
  <c r="L78" i="27" s="1"/>
  <c r="AH78" i="27"/>
  <c r="K78" i="27" s="1"/>
  <c r="AG78" i="27"/>
  <c r="J78" i="27" s="1"/>
  <c r="AT75" i="11"/>
  <c r="AJ76" i="27"/>
  <c r="M76" i="27" s="1"/>
  <c r="AF76" i="27"/>
  <c r="I76" i="27" s="1"/>
  <c r="AI76" i="27"/>
  <c r="L76" i="27" s="1"/>
  <c r="AH76" i="27"/>
  <c r="K76" i="27" s="1"/>
  <c r="AG76" i="27"/>
  <c r="J76" i="27" s="1"/>
  <c r="AT73" i="11"/>
  <c r="AJ74" i="27"/>
  <c r="M74" i="27" s="1"/>
  <c r="AH74" i="27"/>
  <c r="K74" i="27" s="1"/>
  <c r="AG74" i="27"/>
  <c r="J74" i="27" s="1"/>
  <c r="AF74" i="27"/>
  <c r="I74" i="27" s="1"/>
  <c r="AI74" i="27"/>
  <c r="L74" i="27" s="1"/>
  <c r="AT71" i="11"/>
  <c r="AJ72" i="27"/>
  <c r="M72" i="27" s="1"/>
  <c r="AI72" i="27"/>
  <c r="L72" i="27" s="1"/>
  <c r="AF72" i="27"/>
  <c r="I72" i="27" s="1"/>
  <c r="AH72" i="27"/>
  <c r="K72" i="27" s="1"/>
  <c r="AG72" i="27"/>
  <c r="J72" i="27" s="1"/>
  <c r="AT69" i="11"/>
  <c r="AJ70" i="27"/>
  <c r="M70" i="27" s="1"/>
  <c r="AI70" i="27"/>
  <c r="L70" i="27" s="1"/>
  <c r="AF70" i="27"/>
  <c r="I70" i="27" s="1"/>
  <c r="AG70" i="27"/>
  <c r="J70" i="27" s="1"/>
  <c r="AH70" i="27"/>
  <c r="K70" i="27" s="1"/>
  <c r="AT67" i="11"/>
  <c r="AJ68" i="27"/>
  <c r="M68" i="27" s="1"/>
  <c r="AF68" i="27"/>
  <c r="I68" i="27" s="1"/>
  <c r="AI68" i="27"/>
  <c r="L68" i="27" s="1"/>
  <c r="AG68" i="27"/>
  <c r="J68" i="27" s="1"/>
  <c r="AH68" i="27"/>
  <c r="K68" i="27" s="1"/>
  <c r="AT65" i="11"/>
  <c r="AJ66" i="27"/>
  <c r="M66" i="27" s="1"/>
  <c r="AG66" i="27"/>
  <c r="J66" i="27" s="1"/>
  <c r="AF66" i="27"/>
  <c r="I66" i="27" s="1"/>
  <c r="AI66" i="27"/>
  <c r="L66" i="27" s="1"/>
  <c r="AH66" i="27"/>
  <c r="K66" i="27" s="1"/>
  <c r="AT63" i="11"/>
  <c r="AJ64" i="27"/>
  <c r="M64" i="27" s="1"/>
  <c r="AG64" i="27"/>
  <c r="J64" i="27" s="1"/>
  <c r="AI64" i="27"/>
  <c r="L64" i="27" s="1"/>
  <c r="AF64" i="27"/>
  <c r="I64" i="27" s="1"/>
  <c r="AH64" i="27"/>
  <c r="K64" i="27" s="1"/>
  <c r="AJ62" i="27"/>
  <c r="M62" i="27" s="1"/>
  <c r="AT108" i="11"/>
  <c r="AJ109" i="27"/>
  <c r="M109" i="27" s="1"/>
  <c r="AI109" i="27"/>
  <c r="L109" i="27" s="1"/>
  <c r="AG109" i="27"/>
  <c r="J109" i="27" s="1"/>
  <c r="AH109" i="27"/>
  <c r="K109" i="27" s="1"/>
  <c r="AF109" i="27"/>
  <c r="I109" i="27" s="1"/>
  <c r="AT106" i="11"/>
  <c r="AJ107" i="27"/>
  <c r="M107" i="27" s="1"/>
  <c r="AF107" i="27"/>
  <c r="I107" i="27" s="1"/>
  <c r="AG107" i="27"/>
  <c r="J107" i="27" s="1"/>
  <c r="AI107" i="27"/>
  <c r="L107" i="27" s="1"/>
  <c r="AH107" i="27"/>
  <c r="K107" i="27" s="1"/>
  <c r="AT104" i="11"/>
  <c r="AJ105" i="27"/>
  <c r="M105" i="27" s="1"/>
  <c r="AH105" i="27"/>
  <c r="K105" i="27" s="1"/>
  <c r="AF105" i="27"/>
  <c r="I105" i="27" s="1"/>
  <c r="AG105" i="27"/>
  <c r="J105" i="27" s="1"/>
  <c r="AI105" i="27"/>
  <c r="L105" i="27" s="1"/>
  <c r="AT102" i="11"/>
  <c r="AJ103" i="27"/>
  <c r="M103" i="27" s="1"/>
  <c r="AF103" i="27"/>
  <c r="I103" i="27" s="1"/>
  <c r="AH103" i="27"/>
  <c r="K103" i="27" s="1"/>
  <c r="AI103" i="27"/>
  <c r="L103" i="27" s="1"/>
  <c r="AG103" i="27"/>
  <c r="J103" i="27" s="1"/>
  <c r="AT100" i="11"/>
  <c r="AJ101" i="27"/>
  <c r="M101" i="27" s="1"/>
  <c r="AH101" i="27"/>
  <c r="K101" i="27" s="1"/>
  <c r="AF101" i="27"/>
  <c r="I101" i="27" s="1"/>
  <c r="AG101" i="27"/>
  <c r="J101" i="27" s="1"/>
  <c r="AI101" i="27"/>
  <c r="L101" i="27" s="1"/>
  <c r="AT98" i="11"/>
  <c r="AJ99" i="27"/>
  <c r="M99" i="27" s="1"/>
  <c r="AH99" i="27"/>
  <c r="K99" i="27" s="1"/>
  <c r="AF99" i="27"/>
  <c r="I99" i="27" s="1"/>
  <c r="AG99" i="27"/>
  <c r="J99" i="27" s="1"/>
  <c r="AI99" i="27"/>
  <c r="L99" i="27" s="1"/>
  <c r="AT96" i="11"/>
  <c r="AJ97" i="27"/>
  <c r="M97" i="27" s="1"/>
  <c r="AF97" i="27"/>
  <c r="I97" i="27" s="1"/>
  <c r="AG97" i="27"/>
  <c r="J97" i="27" s="1"/>
  <c r="AI97" i="27"/>
  <c r="L97" i="27" s="1"/>
  <c r="AH97" i="27"/>
  <c r="K97" i="27" s="1"/>
  <c r="AT94" i="11"/>
  <c r="AJ95" i="27"/>
  <c r="M95" i="27" s="1"/>
  <c r="AH95" i="27"/>
  <c r="K95" i="27" s="1"/>
  <c r="AI95" i="27"/>
  <c r="L95" i="27" s="1"/>
  <c r="AG95" i="27"/>
  <c r="J95" i="27" s="1"/>
  <c r="AF95" i="27"/>
  <c r="I95" i="27" s="1"/>
  <c r="AT92" i="11"/>
  <c r="AJ93" i="27"/>
  <c r="M93" i="27" s="1"/>
  <c r="AF93" i="27"/>
  <c r="I93" i="27" s="1"/>
  <c r="AG93" i="27"/>
  <c r="J93" i="27" s="1"/>
  <c r="AH93" i="27"/>
  <c r="K93" i="27" s="1"/>
  <c r="AI93" i="27"/>
  <c r="L93" i="27" s="1"/>
  <c r="AT90" i="11"/>
  <c r="AJ91" i="27"/>
  <c r="M91" i="27" s="1"/>
  <c r="AH91" i="27"/>
  <c r="K91" i="27" s="1"/>
  <c r="AF91" i="27"/>
  <c r="I91" i="27" s="1"/>
  <c r="AG91" i="27"/>
  <c r="J91" i="27" s="1"/>
  <c r="AI91" i="27"/>
  <c r="L91" i="27" s="1"/>
  <c r="AT88" i="11"/>
  <c r="AJ89" i="27"/>
  <c r="M89" i="27" s="1"/>
  <c r="AG89" i="27"/>
  <c r="J89" i="27" s="1"/>
  <c r="AF89" i="27"/>
  <c r="I89" i="27" s="1"/>
  <c r="AH89" i="27"/>
  <c r="K89" i="27" s="1"/>
  <c r="AI89" i="27"/>
  <c r="L89" i="27" s="1"/>
  <c r="AT86" i="11"/>
  <c r="AJ87" i="27"/>
  <c r="M87" i="27" s="1"/>
  <c r="AH87" i="27"/>
  <c r="K87" i="27" s="1"/>
  <c r="AI87" i="27"/>
  <c r="L87" i="27" s="1"/>
  <c r="AG87" i="27"/>
  <c r="J87" i="27" s="1"/>
  <c r="AF87" i="27"/>
  <c r="I87" i="27" s="1"/>
  <c r="AT84" i="11"/>
  <c r="AJ85" i="27"/>
  <c r="M85" i="27" s="1"/>
  <c r="AF85" i="27"/>
  <c r="I85" i="27" s="1"/>
  <c r="AG85" i="27"/>
  <c r="J85" i="27" s="1"/>
  <c r="AI85" i="27"/>
  <c r="L85" i="27" s="1"/>
  <c r="AH85" i="27"/>
  <c r="K85" i="27" s="1"/>
  <c r="AT82" i="11"/>
  <c r="AJ83" i="27"/>
  <c r="M83" i="27" s="1"/>
  <c r="AG83" i="27"/>
  <c r="J83" i="27" s="1"/>
  <c r="AF83" i="27"/>
  <c r="I83" i="27" s="1"/>
  <c r="AH83" i="27"/>
  <c r="K83" i="27" s="1"/>
  <c r="AI83" i="27"/>
  <c r="L83" i="27" s="1"/>
  <c r="AT80" i="11"/>
  <c r="AJ81" i="27"/>
  <c r="M81" i="27" s="1"/>
  <c r="AI81" i="27"/>
  <c r="L81" i="27" s="1"/>
  <c r="AF81" i="27"/>
  <c r="I81" i="27" s="1"/>
  <c r="AH81" i="27"/>
  <c r="K81" i="27" s="1"/>
  <c r="AG81" i="27"/>
  <c r="J81" i="27" s="1"/>
  <c r="AT78" i="11"/>
  <c r="AJ79" i="27"/>
  <c r="M79" i="27" s="1"/>
  <c r="AG79" i="27"/>
  <c r="J79" i="27" s="1"/>
  <c r="AF79" i="27"/>
  <c r="I79" i="27" s="1"/>
  <c r="AH79" i="27"/>
  <c r="K79" i="27" s="1"/>
  <c r="AI79" i="27"/>
  <c r="L79" i="27" s="1"/>
  <c r="AT76" i="11"/>
  <c r="AJ77" i="27"/>
  <c r="M77" i="27" s="1"/>
  <c r="AI77" i="27"/>
  <c r="L77" i="27" s="1"/>
  <c r="AF77" i="27"/>
  <c r="I77" i="27" s="1"/>
  <c r="AG77" i="27"/>
  <c r="J77" i="27" s="1"/>
  <c r="AH77" i="27"/>
  <c r="K77" i="27" s="1"/>
  <c r="AT74" i="11"/>
  <c r="AJ75" i="27"/>
  <c r="M75" i="27" s="1"/>
  <c r="AH75" i="27"/>
  <c r="K75" i="27" s="1"/>
  <c r="AG75" i="27"/>
  <c r="J75" i="27" s="1"/>
  <c r="AI75" i="27"/>
  <c r="L75" i="27" s="1"/>
  <c r="AF75" i="27"/>
  <c r="I75" i="27" s="1"/>
  <c r="AT72" i="11"/>
  <c r="AJ73" i="27"/>
  <c r="M73" i="27" s="1"/>
  <c r="AH73" i="27"/>
  <c r="K73" i="27" s="1"/>
  <c r="AI73" i="27"/>
  <c r="L73" i="27" s="1"/>
  <c r="AG73" i="27"/>
  <c r="J73" i="27" s="1"/>
  <c r="AF73" i="27"/>
  <c r="I73" i="27" s="1"/>
  <c r="AT70" i="11"/>
  <c r="AJ71" i="27"/>
  <c r="M71" i="27" s="1"/>
  <c r="AH71" i="27"/>
  <c r="K71" i="27" s="1"/>
  <c r="AI71" i="27"/>
  <c r="L71" i="27" s="1"/>
  <c r="AG71" i="27"/>
  <c r="J71" i="27" s="1"/>
  <c r="AF71" i="27"/>
  <c r="I71" i="27" s="1"/>
  <c r="AT68" i="11"/>
  <c r="AJ69" i="27"/>
  <c r="M69" i="27" s="1"/>
  <c r="AG69" i="27"/>
  <c r="J69" i="27" s="1"/>
  <c r="AF69" i="27"/>
  <c r="I69" i="27" s="1"/>
  <c r="AH69" i="27"/>
  <c r="K69" i="27" s="1"/>
  <c r="AI69" i="27"/>
  <c r="L69" i="27" s="1"/>
  <c r="AT66" i="11"/>
  <c r="AJ67" i="27"/>
  <c r="M67" i="27" s="1"/>
  <c r="AG67" i="27"/>
  <c r="J67" i="27" s="1"/>
  <c r="AI67" i="27"/>
  <c r="L67" i="27" s="1"/>
  <c r="AF67" i="27"/>
  <c r="I67" i="27" s="1"/>
  <c r="AH67" i="27"/>
  <c r="K67" i="27" s="1"/>
  <c r="AT64" i="11"/>
  <c r="AJ65" i="27"/>
  <c r="M65" i="27" s="1"/>
  <c r="AI65" i="27"/>
  <c r="L65" i="27" s="1"/>
  <c r="AG65" i="27"/>
  <c r="J65" i="27" s="1"/>
  <c r="AH65" i="27"/>
  <c r="K65" i="27" s="1"/>
  <c r="AF65" i="27"/>
  <c r="I65" i="27" s="1"/>
  <c r="AT62" i="11"/>
  <c r="AJ63" i="27"/>
  <c r="M63" i="27" s="1"/>
  <c r="AF63" i="27"/>
  <c r="I63" i="27" s="1"/>
  <c r="AH63" i="27"/>
  <c r="K63" i="27" s="1"/>
  <c r="AI63" i="27"/>
  <c r="L63" i="27" s="1"/>
  <c r="AG63" i="27"/>
  <c r="J63" i="27" s="1"/>
  <c r="AF62" i="27"/>
  <c r="I62" i="27" s="1"/>
  <c r="AH62" i="27"/>
  <c r="K62" i="27" s="1"/>
  <c r="AG62" i="27"/>
  <c r="J62" i="27" s="1"/>
  <c r="AQ2" i="11"/>
  <c r="AO2" i="11" s="1"/>
  <c r="AQ3" i="11"/>
  <c r="AO3" i="11" s="1"/>
  <c r="AQ5" i="11"/>
  <c r="AO5" i="11" s="1"/>
  <c r="AQ7" i="11"/>
  <c r="AO7" i="11" s="1"/>
  <c r="AQ9" i="11"/>
  <c r="AO9" i="11" s="1"/>
  <c r="AQ11" i="11"/>
  <c r="AO11" i="11" s="1"/>
  <c r="AQ13" i="11"/>
  <c r="AO13" i="11" s="1"/>
  <c r="AQ15" i="11"/>
  <c r="AO15" i="11" s="1"/>
  <c r="AQ17" i="11"/>
  <c r="AO17" i="11" s="1"/>
  <c r="AQ19" i="11"/>
  <c r="AO19" i="11" s="1"/>
  <c r="AQ21" i="11"/>
  <c r="AO21" i="11" s="1"/>
  <c r="AQ23" i="11"/>
  <c r="AO23" i="11" s="1"/>
  <c r="AQ25" i="11"/>
  <c r="AO25" i="11" s="1"/>
  <c r="AQ27" i="11"/>
  <c r="AO27" i="11" s="1"/>
  <c r="AQ29" i="11"/>
  <c r="AO29" i="11" s="1"/>
  <c r="AQ31" i="11"/>
  <c r="AO31" i="11" s="1"/>
  <c r="AQ33" i="11"/>
  <c r="AO33" i="11" s="1"/>
  <c r="AQ35" i="11"/>
  <c r="AO35" i="11" s="1"/>
  <c r="AQ37" i="11"/>
  <c r="AO37" i="11" s="1"/>
  <c r="AQ39" i="11"/>
  <c r="AO39" i="11" s="1"/>
  <c r="AQ41" i="11"/>
  <c r="AO41" i="11" s="1"/>
  <c r="AQ43" i="11"/>
  <c r="AO43" i="11" s="1"/>
  <c r="AQ45" i="11"/>
  <c r="AO45" i="11" s="1"/>
  <c r="AQ47" i="11"/>
  <c r="AO47" i="11" s="1"/>
  <c r="AQ49" i="11"/>
  <c r="AO49" i="11" s="1"/>
  <c r="AQ51" i="11"/>
  <c r="AO51" i="11" s="1"/>
  <c r="AQ53" i="11"/>
  <c r="AO53" i="11" s="1"/>
  <c r="AQ55" i="11"/>
  <c r="AO55" i="11" s="1"/>
  <c r="AQ57" i="11"/>
  <c r="AO57" i="11" s="1"/>
  <c r="AQ59" i="11"/>
  <c r="AO59" i="11" s="1"/>
  <c r="AQ61" i="11"/>
  <c r="AO61" i="11" s="1"/>
  <c r="AQ63" i="11"/>
  <c r="AO63" i="11" s="1"/>
  <c r="AQ65" i="11"/>
  <c r="AO65" i="11" s="1"/>
  <c r="AQ67" i="11"/>
  <c r="AO67" i="11" s="1"/>
  <c r="AQ69" i="11"/>
  <c r="AO69" i="11" s="1"/>
  <c r="AQ71" i="11"/>
  <c r="AO71" i="11" s="1"/>
  <c r="AQ73" i="11"/>
  <c r="AO73" i="11" s="1"/>
  <c r="AQ75" i="11"/>
  <c r="AO75" i="11" s="1"/>
  <c r="AQ77" i="11"/>
  <c r="AO77" i="11" s="1"/>
  <c r="AQ79" i="11"/>
  <c r="AO79" i="11" s="1"/>
  <c r="AQ81" i="11"/>
  <c r="AO81" i="11" s="1"/>
  <c r="AQ83" i="11"/>
  <c r="AO83" i="11" s="1"/>
  <c r="AQ85" i="11"/>
  <c r="AO85" i="11" s="1"/>
  <c r="AQ4" i="11"/>
  <c r="AO4" i="11" s="1"/>
  <c r="AQ6" i="11"/>
  <c r="AO6" i="11" s="1"/>
  <c r="AQ8" i="11"/>
  <c r="AO8" i="11" s="1"/>
  <c r="AQ10" i="11"/>
  <c r="AO10" i="11" s="1"/>
  <c r="AQ12" i="11"/>
  <c r="AO12" i="11" s="1"/>
  <c r="AQ14" i="11"/>
  <c r="AO14" i="11" s="1"/>
  <c r="AQ16" i="11"/>
  <c r="AO16" i="11" s="1"/>
  <c r="AQ18" i="11"/>
  <c r="AO18" i="11" s="1"/>
  <c r="AQ20" i="11"/>
  <c r="AO20" i="11" s="1"/>
  <c r="AQ22" i="11"/>
  <c r="AO22" i="11" s="1"/>
  <c r="AQ24" i="11"/>
  <c r="AO24" i="11" s="1"/>
  <c r="AQ26" i="11"/>
  <c r="AO26" i="11" s="1"/>
  <c r="AQ28" i="11"/>
  <c r="AO28" i="11" s="1"/>
  <c r="AQ30" i="11"/>
  <c r="AO30" i="11" s="1"/>
  <c r="AQ32" i="11"/>
  <c r="AO32" i="11" s="1"/>
  <c r="AQ34" i="11"/>
  <c r="AO34" i="11" s="1"/>
  <c r="AQ36" i="11"/>
  <c r="AO36" i="11" s="1"/>
  <c r="AQ38" i="11"/>
  <c r="AO38" i="11" s="1"/>
  <c r="AQ40" i="11"/>
  <c r="AO40" i="11" s="1"/>
  <c r="AQ42" i="11"/>
  <c r="AO42" i="11" s="1"/>
  <c r="AQ44" i="11"/>
  <c r="AO44" i="11" s="1"/>
  <c r="AQ46" i="11"/>
  <c r="AO46" i="11" s="1"/>
  <c r="AQ48" i="11"/>
  <c r="AO48" i="11" s="1"/>
  <c r="AQ50" i="11"/>
  <c r="AO50" i="11" s="1"/>
  <c r="AQ52" i="11"/>
  <c r="AO52" i="11" s="1"/>
  <c r="AQ54" i="11"/>
  <c r="AO54" i="11" s="1"/>
  <c r="AQ56" i="11"/>
  <c r="AO56" i="11" s="1"/>
  <c r="AQ58" i="11"/>
  <c r="AO58" i="11" s="1"/>
  <c r="AQ60" i="11"/>
  <c r="AO60" i="11" s="1"/>
  <c r="AQ62" i="11"/>
  <c r="AO62" i="11" s="1"/>
  <c r="AQ64" i="11"/>
  <c r="AO64" i="11" s="1"/>
  <c r="AQ66" i="11"/>
  <c r="AO66" i="11" s="1"/>
  <c r="AQ68" i="11"/>
  <c r="AO68" i="11" s="1"/>
  <c r="AQ70" i="11"/>
  <c r="AO70" i="11" s="1"/>
  <c r="AQ72" i="11"/>
  <c r="AO72" i="11" s="1"/>
  <c r="AQ74" i="11"/>
  <c r="AO74" i="11" s="1"/>
  <c r="AQ76" i="11"/>
  <c r="AO76" i="11" s="1"/>
  <c r="AQ78" i="11"/>
  <c r="AO78" i="11" s="1"/>
  <c r="AQ80" i="11"/>
  <c r="AO80" i="11" s="1"/>
  <c r="AQ82" i="11"/>
  <c r="AO82" i="11" s="1"/>
  <c r="AQ84" i="11"/>
  <c r="AO84" i="11" s="1"/>
  <c r="AQ86" i="11"/>
  <c r="AO86" i="11" s="1"/>
  <c r="AQ88" i="11"/>
  <c r="AO88" i="11" s="1"/>
  <c r="AQ90" i="11"/>
  <c r="AO90" i="11" s="1"/>
  <c r="AQ92" i="11"/>
  <c r="AO92" i="11" s="1"/>
  <c r="AQ94" i="11"/>
  <c r="AO94" i="11" s="1"/>
  <c r="AQ96" i="11"/>
  <c r="AO96" i="11" s="1"/>
  <c r="AQ98" i="11"/>
  <c r="AO98" i="11" s="1"/>
  <c r="AQ100" i="11"/>
  <c r="AO100" i="11" s="1"/>
  <c r="AQ102" i="11"/>
  <c r="AO102" i="11" s="1"/>
  <c r="AQ104" i="11"/>
  <c r="AO104" i="11" s="1"/>
  <c r="AQ106" i="11"/>
  <c r="AO106" i="11" s="1"/>
  <c r="AQ108" i="11"/>
  <c r="AO108" i="11" s="1"/>
  <c r="AQ107" i="11"/>
  <c r="AO107" i="11" s="1"/>
  <c r="AQ89" i="11"/>
  <c r="AO89" i="11" s="1"/>
  <c r="AQ97" i="11"/>
  <c r="AO97" i="11" s="1"/>
  <c r="AQ105" i="11"/>
  <c r="AO105" i="11" s="1"/>
  <c r="AQ87" i="11"/>
  <c r="AO87" i="11" s="1"/>
  <c r="AQ95" i="11"/>
  <c r="AO95" i="11" s="1"/>
  <c r="AQ103" i="11"/>
  <c r="AO103" i="11" s="1"/>
  <c r="AQ91" i="11"/>
  <c r="AO91" i="11" s="1"/>
  <c r="AQ99" i="11"/>
  <c r="AO99" i="11" s="1"/>
  <c r="AQ93" i="11"/>
  <c r="AO93" i="11" s="1"/>
  <c r="AQ101" i="11"/>
  <c r="AO101" i="11" s="1"/>
  <c r="AQ109" i="11"/>
  <c r="AO109" i="11" s="1"/>
  <c r="AR2" i="11"/>
  <c r="AP2" i="11" s="1"/>
  <c r="AR3" i="11"/>
  <c r="AP3" i="11" s="1"/>
  <c r="AR5" i="11"/>
  <c r="AP5" i="11" s="1"/>
  <c r="AR7" i="11"/>
  <c r="AP7" i="11" s="1"/>
  <c r="AR9" i="11"/>
  <c r="AP9" i="11" s="1"/>
  <c r="AR11" i="11"/>
  <c r="AP11" i="11" s="1"/>
  <c r="AR13" i="11"/>
  <c r="AP13" i="11" s="1"/>
  <c r="AR15" i="11"/>
  <c r="AP15" i="11" s="1"/>
  <c r="AR17" i="11"/>
  <c r="AP17" i="11" s="1"/>
  <c r="AR19" i="11"/>
  <c r="AP19" i="11" s="1"/>
  <c r="AR21" i="11"/>
  <c r="AP21" i="11" s="1"/>
  <c r="AR23" i="11"/>
  <c r="AP23" i="11" s="1"/>
  <c r="AR25" i="11"/>
  <c r="AP25" i="11" s="1"/>
  <c r="AR27" i="11"/>
  <c r="AP27" i="11" s="1"/>
  <c r="AR29" i="11"/>
  <c r="AP29" i="11" s="1"/>
  <c r="AR31" i="11"/>
  <c r="AP31" i="11" s="1"/>
  <c r="AR33" i="11"/>
  <c r="AP33" i="11" s="1"/>
  <c r="AR35" i="11"/>
  <c r="AP35" i="11" s="1"/>
  <c r="AR37" i="11"/>
  <c r="AP37" i="11" s="1"/>
  <c r="AR39" i="11"/>
  <c r="AP39" i="11" s="1"/>
  <c r="AR41" i="11"/>
  <c r="AP41" i="11" s="1"/>
  <c r="AR43" i="11"/>
  <c r="AP43" i="11" s="1"/>
  <c r="AR45" i="11"/>
  <c r="AP45" i="11" s="1"/>
  <c r="AR47" i="11"/>
  <c r="AP47" i="11" s="1"/>
  <c r="AR49" i="11"/>
  <c r="AP49" i="11" s="1"/>
  <c r="AR51" i="11"/>
  <c r="AP51" i="11" s="1"/>
  <c r="AR53" i="11"/>
  <c r="AP53" i="11" s="1"/>
  <c r="AR55" i="11"/>
  <c r="AP55" i="11" s="1"/>
  <c r="AR57" i="11"/>
  <c r="AP57" i="11" s="1"/>
  <c r="AR59" i="11"/>
  <c r="AP59" i="11" s="1"/>
  <c r="AR61" i="11"/>
  <c r="AP61" i="11" s="1"/>
  <c r="AR63" i="11"/>
  <c r="AP63" i="11" s="1"/>
  <c r="AR65" i="11"/>
  <c r="AP65" i="11" s="1"/>
  <c r="AR67" i="11"/>
  <c r="AP67" i="11" s="1"/>
  <c r="AR69" i="11"/>
  <c r="AP69" i="11" s="1"/>
  <c r="AR71" i="11"/>
  <c r="AP71" i="11" s="1"/>
  <c r="AR73" i="11"/>
  <c r="AP73" i="11" s="1"/>
  <c r="AR75" i="11"/>
  <c r="AP75" i="11" s="1"/>
  <c r="AR77" i="11"/>
  <c r="AP77" i="11" s="1"/>
  <c r="AR79" i="11"/>
  <c r="AP79" i="11" s="1"/>
  <c r="AR81" i="11"/>
  <c r="AP81" i="11" s="1"/>
  <c r="AR83" i="11"/>
  <c r="AP83" i="11" s="1"/>
  <c r="AR85" i="11"/>
  <c r="AP85" i="11" s="1"/>
  <c r="AR87" i="11"/>
  <c r="AP87" i="11" s="1"/>
  <c r="AR89" i="11"/>
  <c r="AP89" i="11" s="1"/>
  <c r="AR91" i="11"/>
  <c r="AP91" i="11" s="1"/>
  <c r="AR93" i="11"/>
  <c r="AP93" i="11" s="1"/>
  <c r="AR95" i="11"/>
  <c r="AP95" i="11" s="1"/>
  <c r="AR97" i="11"/>
  <c r="AP97" i="11" s="1"/>
  <c r="AR99" i="11"/>
  <c r="AP99" i="11" s="1"/>
  <c r="AR101" i="11"/>
  <c r="AP101" i="11" s="1"/>
  <c r="AR103" i="11"/>
  <c r="AP103" i="11" s="1"/>
  <c r="AR105" i="11"/>
  <c r="AP105" i="11" s="1"/>
  <c r="AR107" i="11"/>
  <c r="AP107" i="11" s="1"/>
  <c r="AR109" i="11"/>
  <c r="AP109" i="11" s="1"/>
  <c r="AR4" i="11"/>
  <c r="AP4" i="11" s="1"/>
  <c r="AR6" i="11"/>
  <c r="AP6" i="11" s="1"/>
  <c r="AR8" i="11"/>
  <c r="AP8" i="11" s="1"/>
  <c r="AR10" i="11"/>
  <c r="AP10" i="11" s="1"/>
  <c r="AR12" i="11"/>
  <c r="AP12" i="11" s="1"/>
  <c r="AR14" i="11"/>
  <c r="AP14" i="11" s="1"/>
  <c r="AR16" i="11"/>
  <c r="AP16" i="11" s="1"/>
  <c r="AR18" i="11"/>
  <c r="AP18" i="11" s="1"/>
  <c r="AR20" i="11"/>
  <c r="AP20" i="11" s="1"/>
  <c r="AR22" i="11"/>
  <c r="AP22" i="11" s="1"/>
  <c r="AR24" i="11"/>
  <c r="AP24" i="11" s="1"/>
  <c r="AR26" i="11"/>
  <c r="AP26" i="11" s="1"/>
  <c r="AR28" i="11"/>
  <c r="AP28" i="11" s="1"/>
  <c r="AR30" i="11"/>
  <c r="AP30" i="11" s="1"/>
  <c r="AR32" i="11"/>
  <c r="AP32" i="11" s="1"/>
  <c r="AR34" i="11"/>
  <c r="AP34" i="11" s="1"/>
  <c r="AR36" i="11"/>
  <c r="AP36" i="11" s="1"/>
  <c r="AR38" i="11"/>
  <c r="AP38" i="11" s="1"/>
  <c r="AR40" i="11"/>
  <c r="AP40" i="11" s="1"/>
  <c r="AR42" i="11"/>
  <c r="AP42" i="11" s="1"/>
  <c r="AR44" i="11"/>
  <c r="AP44" i="11" s="1"/>
  <c r="AR46" i="11"/>
  <c r="AP46" i="11" s="1"/>
  <c r="AR48" i="11"/>
  <c r="AP48" i="11" s="1"/>
  <c r="AR50" i="11"/>
  <c r="AP50" i="11" s="1"/>
  <c r="AR52" i="11"/>
  <c r="AP52" i="11" s="1"/>
  <c r="AR54" i="11"/>
  <c r="AP54" i="11" s="1"/>
  <c r="AR56" i="11"/>
  <c r="AP56" i="11" s="1"/>
  <c r="AR58" i="11"/>
  <c r="AP58" i="11" s="1"/>
  <c r="AR60" i="11"/>
  <c r="AP60" i="11" s="1"/>
  <c r="AR62" i="11"/>
  <c r="AP62" i="11" s="1"/>
  <c r="AR64" i="11"/>
  <c r="AP64" i="11" s="1"/>
  <c r="AR66" i="11"/>
  <c r="AP66" i="11" s="1"/>
  <c r="AR100" i="11"/>
  <c r="AP100" i="11" s="1"/>
  <c r="AR108" i="11"/>
  <c r="AP108" i="11" s="1"/>
  <c r="AR92" i="11"/>
  <c r="AP92" i="11" s="1"/>
  <c r="AR80" i="11"/>
  <c r="AP80" i="11" s="1"/>
  <c r="AR68" i="11"/>
  <c r="AP68" i="11" s="1"/>
  <c r="AR84" i="11"/>
  <c r="AP84" i="11" s="1"/>
  <c r="AR86" i="11"/>
  <c r="AP86" i="11" s="1"/>
  <c r="AR94" i="11"/>
  <c r="AP94" i="11" s="1"/>
  <c r="AR74" i="11"/>
  <c r="AP74" i="11" s="1"/>
  <c r="AR78" i="11"/>
  <c r="AP78" i="11" s="1"/>
  <c r="AR90" i="11"/>
  <c r="AP90" i="11" s="1"/>
  <c r="AR98" i="11"/>
  <c r="AP98" i="11" s="1"/>
  <c r="AR106" i="11"/>
  <c r="AP106" i="11" s="1"/>
  <c r="AR88" i="11"/>
  <c r="AP88" i="11" s="1"/>
  <c r="AR104" i="11"/>
  <c r="AP104" i="11" s="1"/>
  <c r="AR76" i="11"/>
  <c r="AP76" i="11" s="1"/>
  <c r="AR70" i="11"/>
  <c r="AP70" i="11" s="1"/>
  <c r="AR72" i="11"/>
  <c r="AP72" i="11" s="1"/>
  <c r="AR82" i="11"/>
  <c r="AP82" i="11" s="1"/>
  <c r="AR96" i="11"/>
  <c r="AP96" i="11" s="1"/>
  <c r="AR102" i="11"/>
  <c r="AP102" i="11" s="1"/>
  <c r="P35" i="13"/>
  <c r="P33" i="13"/>
  <c r="P11" i="14"/>
  <c r="Q11" i="14" s="1"/>
  <c r="Q16" i="14" s="1"/>
  <c r="P14" i="14"/>
  <c r="Q14" i="14" s="1"/>
  <c r="P13" i="14"/>
  <c r="Q13" i="14" s="1"/>
  <c r="P15" i="14"/>
  <c r="Q15" i="14" s="1"/>
  <c r="P12" i="14"/>
  <c r="Q12" i="14" s="1"/>
  <c r="AM1" i="11"/>
  <c r="BA1" i="11"/>
  <c r="AZ1" i="11"/>
  <c r="AY1" i="11"/>
  <c r="AX1" i="11"/>
  <c r="AW1" i="11"/>
  <c r="CP13" i="27" l="1"/>
  <c r="CQ13" i="27" s="1"/>
  <c r="CK14" i="27"/>
  <c r="CN13" i="27"/>
  <c r="CO13" i="27"/>
  <c r="AV12" i="27"/>
  <c r="AU12" i="27"/>
  <c r="AS12" i="27"/>
  <c r="AR12" i="27"/>
  <c r="AW12" i="27"/>
  <c r="AX12" i="27" s="1"/>
  <c r="AT12" i="27"/>
  <c r="AD3" i="27"/>
  <c r="AD7" i="27"/>
  <c r="AD11" i="27"/>
  <c r="AD15" i="27"/>
  <c r="AD19" i="27"/>
  <c r="AD23" i="27"/>
  <c r="AD27" i="27"/>
  <c r="AD31" i="27"/>
  <c r="AD35" i="27"/>
  <c r="AD39" i="27"/>
  <c r="AD43" i="27"/>
  <c r="AD47" i="27"/>
  <c r="AD51" i="27"/>
  <c r="AD55" i="27"/>
  <c r="AD59" i="27"/>
  <c r="AD63" i="27"/>
  <c r="AD67" i="27"/>
  <c r="AD4" i="27"/>
  <c r="AD8" i="27"/>
  <c r="AD12" i="27"/>
  <c r="AD16" i="27"/>
  <c r="AD20" i="27"/>
  <c r="AD24" i="27"/>
  <c r="AD28" i="27"/>
  <c r="AD32" i="27"/>
  <c r="AD36" i="27"/>
  <c r="AD40" i="27"/>
  <c r="AD44" i="27"/>
  <c r="AD48" i="27"/>
  <c r="AD52" i="27"/>
  <c r="AD56" i="27"/>
  <c r="AD60" i="27"/>
  <c r="AD64" i="27"/>
  <c r="AD68" i="27"/>
  <c r="AD5" i="27"/>
  <c r="AD9" i="27"/>
  <c r="AD13" i="27"/>
  <c r="AD17" i="27"/>
  <c r="AD21" i="27"/>
  <c r="AD25" i="27"/>
  <c r="AD29" i="27"/>
  <c r="AD33" i="27"/>
  <c r="AD37" i="27"/>
  <c r="AD41" i="27"/>
  <c r="AD45" i="27"/>
  <c r="AD49" i="27"/>
  <c r="AD53" i="27"/>
  <c r="AD57" i="27"/>
  <c r="AD61" i="27"/>
  <c r="AD65" i="27"/>
  <c r="AD69" i="27"/>
  <c r="AD6" i="27"/>
  <c r="AD22" i="27"/>
  <c r="AD38" i="27"/>
  <c r="AD54" i="27"/>
  <c r="AD70" i="27"/>
  <c r="AD74" i="27"/>
  <c r="AD78" i="27"/>
  <c r="AD82" i="27"/>
  <c r="AD86" i="27"/>
  <c r="AD90" i="27"/>
  <c r="AD94" i="27"/>
  <c r="AD98" i="27"/>
  <c r="AD102" i="27"/>
  <c r="AD106" i="27"/>
  <c r="AD18" i="27"/>
  <c r="AD34" i="27"/>
  <c r="AD50" i="27"/>
  <c r="AD66" i="27"/>
  <c r="AD73" i="27"/>
  <c r="AD77" i="27"/>
  <c r="AD81" i="27"/>
  <c r="AD85" i="27"/>
  <c r="AD89" i="27"/>
  <c r="AD10" i="27"/>
  <c r="AD26" i="27"/>
  <c r="AD42" i="27"/>
  <c r="AD58" i="27"/>
  <c r="AD71" i="27"/>
  <c r="AD75" i="27"/>
  <c r="AD79" i="27"/>
  <c r="AD83" i="27"/>
  <c r="AD87" i="27"/>
  <c r="AD91" i="27"/>
  <c r="AD95" i="27"/>
  <c r="AD99" i="27"/>
  <c r="AD103" i="27"/>
  <c r="AD107" i="27"/>
  <c r="AD2" i="27"/>
  <c r="AD14" i="27"/>
  <c r="AD30" i="27"/>
  <c r="AD46" i="27"/>
  <c r="AD62" i="27"/>
  <c r="AD72" i="27"/>
  <c r="AD76" i="27"/>
  <c r="AD80" i="27"/>
  <c r="AD84" i="27"/>
  <c r="AD88" i="27"/>
  <c r="AD92" i="27"/>
  <c r="AD96" i="27"/>
  <c r="AD100" i="27"/>
  <c r="AD104" i="27"/>
  <c r="AD108" i="27"/>
  <c r="AD97" i="27"/>
  <c r="AD101" i="27"/>
  <c r="AD105" i="27"/>
  <c r="AD93" i="27"/>
  <c r="AD109" i="27"/>
  <c r="AB5" i="27"/>
  <c r="AB9" i="27"/>
  <c r="AB13" i="27"/>
  <c r="AB17" i="27"/>
  <c r="AB21" i="27"/>
  <c r="AB25" i="27"/>
  <c r="AB29" i="27"/>
  <c r="AB33" i="27"/>
  <c r="AB37" i="27"/>
  <c r="AB41" i="27"/>
  <c r="AB45" i="27"/>
  <c r="AB49" i="27"/>
  <c r="AB53" i="27"/>
  <c r="AB57" i="27"/>
  <c r="AB61" i="27"/>
  <c r="AB65" i="27"/>
  <c r="AB69" i="27"/>
  <c r="AB6" i="27"/>
  <c r="AB10" i="27"/>
  <c r="AB14" i="27"/>
  <c r="AB18" i="27"/>
  <c r="AB22" i="27"/>
  <c r="AB26" i="27"/>
  <c r="AB30" i="27"/>
  <c r="AB34" i="27"/>
  <c r="AB38" i="27"/>
  <c r="AB42" i="27"/>
  <c r="AB46" i="27"/>
  <c r="AB50" i="27"/>
  <c r="AB54" i="27"/>
  <c r="AB58" i="27"/>
  <c r="AB62" i="27"/>
  <c r="AB66" i="27"/>
  <c r="AB70" i="27"/>
  <c r="AB3" i="27"/>
  <c r="AB7" i="27"/>
  <c r="AB11" i="27"/>
  <c r="AB15" i="27"/>
  <c r="AB19" i="27"/>
  <c r="AB23" i="27"/>
  <c r="AB27" i="27"/>
  <c r="AB31" i="27"/>
  <c r="AB35" i="27"/>
  <c r="AB39" i="27"/>
  <c r="AB43" i="27"/>
  <c r="AB47" i="27"/>
  <c r="AB51" i="27"/>
  <c r="AB55" i="27"/>
  <c r="AB59" i="27"/>
  <c r="AB63" i="27"/>
  <c r="AB67" i="27"/>
  <c r="AB16" i="27"/>
  <c r="AB32" i="27"/>
  <c r="AB48" i="27"/>
  <c r="AB64" i="27"/>
  <c r="AB72" i="27"/>
  <c r="AB76" i="27"/>
  <c r="AB80" i="27"/>
  <c r="AB84" i="27"/>
  <c r="AB88" i="27"/>
  <c r="AB92" i="27"/>
  <c r="AB96" i="27"/>
  <c r="AB100" i="27"/>
  <c r="AB104" i="27"/>
  <c r="AB108" i="27"/>
  <c r="AB12" i="27"/>
  <c r="AB28" i="27"/>
  <c r="AB44" i="27"/>
  <c r="AB60" i="27"/>
  <c r="AB71" i="27"/>
  <c r="AB75" i="27"/>
  <c r="AB79" i="27"/>
  <c r="AB83" i="27"/>
  <c r="AB87" i="27"/>
  <c r="AB4" i="27"/>
  <c r="AB20" i="27"/>
  <c r="AB36" i="27"/>
  <c r="AB52" i="27"/>
  <c r="AB68" i="27"/>
  <c r="AB73" i="27"/>
  <c r="AB77" i="27"/>
  <c r="AB81" i="27"/>
  <c r="AB85" i="27"/>
  <c r="AB89" i="27"/>
  <c r="AB93" i="27"/>
  <c r="AB97" i="27"/>
  <c r="AB101" i="27"/>
  <c r="AB105" i="27"/>
  <c r="AB109" i="27"/>
  <c r="AB8" i="27"/>
  <c r="AB24" i="27"/>
  <c r="AB40" i="27"/>
  <c r="AB56" i="27"/>
  <c r="AB74" i="27"/>
  <c r="AB78" i="27"/>
  <c r="AB82" i="27"/>
  <c r="AB86" i="27"/>
  <c r="AB90" i="27"/>
  <c r="AB94" i="27"/>
  <c r="AB98" i="27"/>
  <c r="AB102" i="27"/>
  <c r="AB106" i="27"/>
  <c r="AB91" i="27"/>
  <c r="AB107" i="27"/>
  <c r="AB2" i="27"/>
  <c r="AB95" i="27"/>
  <c r="AB99" i="27"/>
  <c r="AB103" i="27"/>
  <c r="AC4" i="27"/>
  <c r="AC8" i="27"/>
  <c r="AC12" i="27"/>
  <c r="AC16" i="27"/>
  <c r="AC20" i="27"/>
  <c r="AC24" i="27"/>
  <c r="AC28" i="27"/>
  <c r="AC32" i="27"/>
  <c r="AC36" i="27"/>
  <c r="AC40" i="27"/>
  <c r="AC44" i="27"/>
  <c r="AC48" i="27"/>
  <c r="AC52" i="27"/>
  <c r="AC56" i="27"/>
  <c r="AC60" i="27"/>
  <c r="AC64" i="27"/>
  <c r="AC68" i="27"/>
  <c r="AC5" i="27"/>
  <c r="AC9" i="27"/>
  <c r="AC13" i="27"/>
  <c r="AC17" i="27"/>
  <c r="AC21" i="27"/>
  <c r="AC25" i="27"/>
  <c r="AC29" i="27"/>
  <c r="AC33" i="27"/>
  <c r="AC37" i="27"/>
  <c r="AC41" i="27"/>
  <c r="AC45" i="27"/>
  <c r="AC49" i="27"/>
  <c r="AC53" i="27"/>
  <c r="AC57" i="27"/>
  <c r="AC61" i="27"/>
  <c r="AC65" i="27"/>
  <c r="AC69" i="27"/>
  <c r="AC6" i="27"/>
  <c r="AC10" i="27"/>
  <c r="AC14" i="27"/>
  <c r="AC18" i="27"/>
  <c r="AC22" i="27"/>
  <c r="AC26" i="27"/>
  <c r="AC30" i="27"/>
  <c r="AC34" i="27"/>
  <c r="AC38" i="27"/>
  <c r="AC42" i="27"/>
  <c r="AC46" i="27"/>
  <c r="AC50" i="27"/>
  <c r="AC54" i="27"/>
  <c r="AC58" i="27"/>
  <c r="AC62" i="27"/>
  <c r="AC66" i="27"/>
  <c r="AC70" i="27"/>
  <c r="AC3" i="27"/>
  <c r="AC19" i="27"/>
  <c r="AC35" i="27"/>
  <c r="AC51" i="27"/>
  <c r="AC67" i="27"/>
  <c r="AC71" i="27"/>
  <c r="AC75" i="27"/>
  <c r="AC79" i="27"/>
  <c r="AC83" i="27"/>
  <c r="AC87" i="27"/>
  <c r="AC91" i="27"/>
  <c r="AC95" i="27"/>
  <c r="AC99" i="27"/>
  <c r="AC103" i="27"/>
  <c r="AC107" i="27"/>
  <c r="AC15" i="27"/>
  <c r="AC31" i="27"/>
  <c r="AC47" i="27"/>
  <c r="AC63" i="27"/>
  <c r="AC74" i="27"/>
  <c r="AC78" i="27"/>
  <c r="AC82" i="27"/>
  <c r="AC86" i="27"/>
  <c r="AC90" i="27"/>
  <c r="AC7" i="27"/>
  <c r="AC23" i="27"/>
  <c r="AC39" i="27"/>
  <c r="AC55" i="27"/>
  <c r="AC72" i="27"/>
  <c r="AC76" i="27"/>
  <c r="AC80" i="27"/>
  <c r="AC84" i="27"/>
  <c r="AC88" i="27"/>
  <c r="AC92" i="27"/>
  <c r="AC96" i="27"/>
  <c r="AC100" i="27"/>
  <c r="AC104" i="27"/>
  <c r="AC108" i="27"/>
  <c r="AC11" i="27"/>
  <c r="AC27" i="27"/>
  <c r="AC43" i="27"/>
  <c r="AC59" i="27"/>
  <c r="AC73" i="27"/>
  <c r="AC77" i="27"/>
  <c r="AC81" i="27"/>
  <c r="AC85" i="27"/>
  <c r="AC89" i="27"/>
  <c r="AC93" i="27"/>
  <c r="AC97" i="27"/>
  <c r="AC101" i="27"/>
  <c r="AC105" i="27"/>
  <c r="AC109" i="27"/>
  <c r="AC2" i="27"/>
  <c r="AC94" i="27"/>
  <c r="AC98" i="27"/>
  <c r="AC102" i="27"/>
  <c r="AC106" i="27"/>
  <c r="AA6" i="27"/>
  <c r="AA10" i="27"/>
  <c r="AA14" i="27"/>
  <c r="AA18" i="27"/>
  <c r="AA22" i="27"/>
  <c r="AA26" i="27"/>
  <c r="AA30" i="27"/>
  <c r="AA34" i="27"/>
  <c r="AA38" i="27"/>
  <c r="AA42" i="27"/>
  <c r="AA46" i="27"/>
  <c r="AA50" i="27"/>
  <c r="AA54" i="27"/>
  <c r="AA58" i="27"/>
  <c r="AA62" i="27"/>
  <c r="AA66" i="27"/>
  <c r="AA70" i="27"/>
  <c r="AA3" i="27"/>
  <c r="AA7" i="27"/>
  <c r="AA11" i="27"/>
  <c r="AA15" i="27"/>
  <c r="AA19" i="27"/>
  <c r="AA23" i="27"/>
  <c r="AA27" i="27"/>
  <c r="AA31" i="27"/>
  <c r="AA35" i="27"/>
  <c r="AA39" i="27"/>
  <c r="AA43" i="27"/>
  <c r="AA47" i="27"/>
  <c r="AA51" i="27"/>
  <c r="AA55" i="27"/>
  <c r="AA59" i="27"/>
  <c r="AA63" i="27"/>
  <c r="AA67" i="27"/>
  <c r="AA4" i="27"/>
  <c r="AA8" i="27"/>
  <c r="AA12" i="27"/>
  <c r="AA16" i="27"/>
  <c r="AA20" i="27"/>
  <c r="AA24" i="27"/>
  <c r="AA28" i="27"/>
  <c r="AA32" i="27"/>
  <c r="AA36" i="27"/>
  <c r="AA40" i="27"/>
  <c r="AA44" i="27"/>
  <c r="AA48" i="27"/>
  <c r="AA52" i="27"/>
  <c r="AA56" i="27"/>
  <c r="AA60" i="27"/>
  <c r="AA64" i="27"/>
  <c r="AA68" i="27"/>
  <c r="AA13" i="27"/>
  <c r="AA29" i="27"/>
  <c r="AA45" i="27"/>
  <c r="AA61" i="27"/>
  <c r="AA73" i="27"/>
  <c r="AA77" i="27"/>
  <c r="AA81" i="27"/>
  <c r="AA85" i="27"/>
  <c r="AA89" i="27"/>
  <c r="AA93" i="27"/>
  <c r="AA97" i="27"/>
  <c r="AA101" i="27"/>
  <c r="AA105" i="27"/>
  <c r="AA109" i="27"/>
  <c r="AA2" i="27"/>
  <c r="AA9" i="27"/>
  <c r="AA25" i="27"/>
  <c r="AA41" i="27"/>
  <c r="AA57" i="27"/>
  <c r="AA72" i="27"/>
  <c r="AA76" i="27"/>
  <c r="AA80" i="27"/>
  <c r="AA84" i="27"/>
  <c r="AA88" i="27"/>
  <c r="AA17" i="27"/>
  <c r="AA33" i="27"/>
  <c r="AA49" i="27"/>
  <c r="AA65" i="27"/>
  <c r="AA74" i="27"/>
  <c r="AA78" i="27"/>
  <c r="AA82" i="27"/>
  <c r="AA86" i="27"/>
  <c r="AA90" i="27"/>
  <c r="AA94" i="27"/>
  <c r="AA98" i="27"/>
  <c r="AA102" i="27"/>
  <c r="AA106" i="27"/>
  <c r="AA5" i="27"/>
  <c r="AA21" i="27"/>
  <c r="AA37" i="27"/>
  <c r="AA53" i="27"/>
  <c r="AA69" i="27"/>
  <c r="AA71" i="27"/>
  <c r="AA75" i="27"/>
  <c r="AA79" i="27"/>
  <c r="AA83" i="27"/>
  <c r="AA87" i="27"/>
  <c r="AA91" i="27"/>
  <c r="AA95" i="27"/>
  <c r="AA99" i="27"/>
  <c r="AA103" i="27"/>
  <c r="AA107" i="27"/>
  <c r="AA104" i="27"/>
  <c r="AA92" i="27"/>
  <c r="AA108" i="27"/>
  <c r="AA96" i="27"/>
  <c r="AA100" i="27"/>
  <c r="Z3" i="27"/>
  <c r="Z7" i="27"/>
  <c r="Z11" i="27"/>
  <c r="Z15" i="27"/>
  <c r="Z19" i="27"/>
  <c r="Z23" i="27"/>
  <c r="Z27" i="27"/>
  <c r="Z31" i="27"/>
  <c r="Z35" i="27"/>
  <c r="Z39" i="27"/>
  <c r="Z43" i="27"/>
  <c r="Z47" i="27"/>
  <c r="Z51" i="27"/>
  <c r="Z55" i="27"/>
  <c r="Z59" i="27"/>
  <c r="Z63" i="27"/>
  <c r="Z67" i="27"/>
  <c r="Z4" i="27"/>
  <c r="Z8" i="27"/>
  <c r="Z12" i="27"/>
  <c r="Z16" i="27"/>
  <c r="Z20" i="27"/>
  <c r="Z24" i="27"/>
  <c r="Z28" i="27"/>
  <c r="Z32" i="27"/>
  <c r="Z36" i="27"/>
  <c r="Z40" i="27"/>
  <c r="Z44" i="27"/>
  <c r="Z48" i="27"/>
  <c r="Z52" i="27"/>
  <c r="Z56" i="27"/>
  <c r="Z60" i="27"/>
  <c r="Z64" i="27"/>
  <c r="Z68" i="27"/>
  <c r="Z5" i="27"/>
  <c r="Z9" i="27"/>
  <c r="Z13" i="27"/>
  <c r="Z17" i="27"/>
  <c r="Z21" i="27"/>
  <c r="Z25" i="27"/>
  <c r="Z29" i="27"/>
  <c r="Z33" i="27"/>
  <c r="Z37" i="27"/>
  <c r="Z41" i="27"/>
  <c r="Z45" i="27"/>
  <c r="Z49" i="27"/>
  <c r="Z53" i="27"/>
  <c r="Z57" i="27"/>
  <c r="Z61" i="27"/>
  <c r="Z65" i="27"/>
  <c r="Z69" i="27"/>
  <c r="Z10" i="27"/>
  <c r="Z26" i="27"/>
  <c r="Z42" i="27"/>
  <c r="Z58" i="27"/>
  <c r="Z74" i="27"/>
  <c r="Z78" i="27"/>
  <c r="Z82" i="27"/>
  <c r="Z86" i="27"/>
  <c r="Z90" i="27"/>
  <c r="Z94" i="27"/>
  <c r="Z98" i="27"/>
  <c r="Z102" i="27"/>
  <c r="Z106" i="27"/>
  <c r="Z2" i="27"/>
  <c r="Z6" i="27"/>
  <c r="Z22" i="27"/>
  <c r="Z38" i="27"/>
  <c r="Z54" i="27"/>
  <c r="Z70" i="27"/>
  <c r="Z73" i="27"/>
  <c r="Z77" i="27"/>
  <c r="Z81" i="27"/>
  <c r="Z85" i="27"/>
  <c r="Z89" i="27"/>
  <c r="Z14" i="27"/>
  <c r="Z30" i="27"/>
  <c r="Z46" i="27"/>
  <c r="Z62" i="27"/>
  <c r="Z71" i="27"/>
  <c r="Z75" i="27"/>
  <c r="Z79" i="27"/>
  <c r="Z83" i="27"/>
  <c r="Z87" i="27"/>
  <c r="Z91" i="27"/>
  <c r="Z95" i="27"/>
  <c r="Z99" i="27"/>
  <c r="Z103" i="27"/>
  <c r="Z107" i="27"/>
  <c r="Z18" i="27"/>
  <c r="Z34" i="27"/>
  <c r="Z50" i="27"/>
  <c r="Z66" i="27"/>
  <c r="Z72" i="27"/>
  <c r="Z76" i="27"/>
  <c r="Z80" i="27"/>
  <c r="Z84" i="27"/>
  <c r="Z88" i="27"/>
  <c r="Z92" i="27"/>
  <c r="Z96" i="27"/>
  <c r="Z100" i="27"/>
  <c r="Z104" i="27"/>
  <c r="Z108" i="27"/>
  <c r="Z101" i="27"/>
  <c r="Z105" i="27"/>
  <c r="Z93" i="27"/>
  <c r="Z109" i="27"/>
  <c r="Z97" i="27"/>
  <c r="AM100" i="11"/>
  <c r="AM5" i="11"/>
  <c r="AM13" i="11"/>
  <c r="AM21" i="11"/>
  <c r="AM29" i="11"/>
  <c r="AM37" i="11"/>
  <c r="AM45" i="11"/>
  <c r="AM53" i="11"/>
  <c r="AM61" i="11"/>
  <c r="AM69" i="11"/>
  <c r="AM77" i="11"/>
  <c r="AM85" i="11"/>
  <c r="AM93" i="11"/>
  <c r="AM101" i="11"/>
  <c r="AM109" i="11"/>
  <c r="AM2" i="11"/>
  <c r="AM16" i="11"/>
  <c r="AM40" i="11"/>
  <c r="AM64" i="11"/>
  <c r="AM80" i="11"/>
  <c r="AM104" i="11"/>
  <c r="AM17" i="11"/>
  <c r="AM33" i="11"/>
  <c r="AM49" i="11"/>
  <c r="AM65" i="11"/>
  <c r="AM81" i="11"/>
  <c r="AM97" i="11"/>
  <c r="AM75" i="11"/>
  <c r="AM99" i="11"/>
  <c r="AM12" i="11"/>
  <c r="AM36" i="11"/>
  <c r="AM60" i="11"/>
  <c r="AM92" i="11"/>
  <c r="AM6" i="11"/>
  <c r="AM14" i="11"/>
  <c r="AM22" i="11"/>
  <c r="AM30" i="11"/>
  <c r="AM38" i="11"/>
  <c r="AM46" i="11"/>
  <c r="AM54" i="11"/>
  <c r="AM62" i="11"/>
  <c r="AM70" i="11"/>
  <c r="AM78" i="11"/>
  <c r="AM86" i="11"/>
  <c r="AM94" i="11"/>
  <c r="AM102" i="11"/>
  <c r="AM24" i="11"/>
  <c r="AM56" i="11"/>
  <c r="AM88" i="11"/>
  <c r="AM67" i="11"/>
  <c r="AM4" i="11"/>
  <c r="AM52" i="11"/>
  <c r="AM84" i="11"/>
  <c r="AM7" i="11"/>
  <c r="AM15" i="11"/>
  <c r="AM23" i="11"/>
  <c r="AM31" i="11"/>
  <c r="AM39" i="11"/>
  <c r="AM47" i="11"/>
  <c r="AM55" i="11"/>
  <c r="AM63" i="11"/>
  <c r="AM71" i="11"/>
  <c r="AM79" i="11"/>
  <c r="AM87" i="11"/>
  <c r="AM95" i="11"/>
  <c r="AM103" i="11"/>
  <c r="AM8" i="11"/>
  <c r="AM32" i="11"/>
  <c r="AM48" i="11"/>
  <c r="AM72" i="11"/>
  <c r="AM96" i="11"/>
  <c r="AM9" i="11"/>
  <c r="AM25" i="11"/>
  <c r="AM41" i="11"/>
  <c r="AM57" i="11"/>
  <c r="AM73" i="11"/>
  <c r="AM89" i="11"/>
  <c r="AM105" i="11"/>
  <c r="AM10" i="11"/>
  <c r="AM18" i="11"/>
  <c r="AM26" i="11"/>
  <c r="AM34" i="11"/>
  <c r="AM42" i="11"/>
  <c r="AM50" i="11"/>
  <c r="AM58" i="11"/>
  <c r="AM66" i="11"/>
  <c r="AM74" i="11"/>
  <c r="AM82" i="11"/>
  <c r="AM90" i="11"/>
  <c r="AM98" i="11"/>
  <c r="AM106" i="11"/>
  <c r="AM3" i="11"/>
  <c r="AM11" i="11"/>
  <c r="AM19" i="11"/>
  <c r="AM27" i="11"/>
  <c r="AM35" i="11"/>
  <c r="AM43" i="11"/>
  <c r="AM51" i="11"/>
  <c r="AM59" i="11"/>
  <c r="AM83" i="11"/>
  <c r="AM91" i="11"/>
  <c r="AM107" i="11"/>
  <c r="AM20" i="11"/>
  <c r="AM28" i="11"/>
  <c r="AM44" i="11"/>
  <c r="AM68" i="11"/>
  <c r="AM76" i="11"/>
  <c r="AM108" i="11"/>
  <c r="AQ1" i="11"/>
  <c r="AO1" i="11"/>
  <c r="BA88" i="11"/>
  <c r="BA96" i="11"/>
  <c r="BA104" i="11"/>
  <c r="BA5" i="11"/>
  <c r="BA13" i="11"/>
  <c r="BA21" i="11"/>
  <c r="BA89" i="11"/>
  <c r="BA100" i="11"/>
  <c r="BA4" i="11"/>
  <c r="BA15" i="11"/>
  <c r="BA24" i="11"/>
  <c r="BA26" i="11"/>
  <c r="BA31" i="11"/>
  <c r="BA39" i="11"/>
  <c r="BA47" i="11"/>
  <c r="BA55" i="11"/>
  <c r="BA63" i="11"/>
  <c r="BA71" i="11"/>
  <c r="BA79" i="11"/>
  <c r="BA95" i="11"/>
  <c r="BA106" i="11"/>
  <c r="BA8" i="11"/>
  <c r="BA10" i="11"/>
  <c r="BA19" i="11"/>
  <c r="BA33" i="11"/>
  <c r="BA41" i="11"/>
  <c r="BA49" i="11"/>
  <c r="BA57" i="11"/>
  <c r="BA65" i="11"/>
  <c r="BA73" i="11"/>
  <c r="BA81" i="11"/>
  <c r="BA2" i="11"/>
  <c r="BA86" i="11"/>
  <c r="BA97" i="11"/>
  <c r="BA108" i="11"/>
  <c r="BA12" i="11"/>
  <c r="BA23" i="11"/>
  <c r="BA30" i="11"/>
  <c r="BA38" i="11"/>
  <c r="BA46" i="11"/>
  <c r="BA54" i="11"/>
  <c r="BA62" i="11"/>
  <c r="BA70" i="11"/>
  <c r="BA78" i="11"/>
  <c r="BA92" i="11"/>
  <c r="BA103" i="11"/>
  <c r="BA7" i="11"/>
  <c r="BA94" i="11"/>
  <c r="BA105" i="11"/>
  <c r="BA9" i="11"/>
  <c r="BA18" i="11"/>
  <c r="BA32" i="11"/>
  <c r="BA37" i="11"/>
  <c r="BA42" i="11"/>
  <c r="BA60" i="11"/>
  <c r="BA87" i="11"/>
  <c r="BA98" i="11"/>
  <c r="BA109" i="11"/>
  <c r="BA27" i="11"/>
  <c r="BA35" i="11"/>
  <c r="BA40" i="11"/>
  <c r="BA45" i="11"/>
  <c r="BA50" i="11"/>
  <c r="BA68" i="11"/>
  <c r="BA91" i="11"/>
  <c r="BA102" i="11"/>
  <c r="BA6" i="11"/>
  <c r="BA43" i="11"/>
  <c r="BA48" i="11"/>
  <c r="BA53" i="11"/>
  <c r="BA58" i="11"/>
  <c r="BA76" i="11"/>
  <c r="BA99" i="11"/>
  <c r="BA3" i="11"/>
  <c r="BA16" i="11"/>
  <c r="BA25" i="11"/>
  <c r="BA51" i="11"/>
  <c r="BA56" i="11"/>
  <c r="BA61" i="11"/>
  <c r="BA66" i="11"/>
  <c r="BA84" i="11"/>
  <c r="BA107" i="11"/>
  <c r="BA14" i="11"/>
  <c r="BA36" i="11"/>
  <c r="BA67" i="11"/>
  <c r="BA72" i="11"/>
  <c r="BA77" i="11"/>
  <c r="BA82" i="11"/>
  <c r="BA17" i="11"/>
  <c r="BA52" i="11"/>
  <c r="BA80" i="11"/>
  <c r="BA74" i="11"/>
  <c r="BA11" i="11"/>
  <c r="BA75" i="11"/>
  <c r="BA90" i="11"/>
  <c r="BA20" i="11"/>
  <c r="BA28" i="11"/>
  <c r="BA34" i="11"/>
  <c r="BA69" i="11"/>
  <c r="BA101" i="11"/>
  <c r="BA83" i="11"/>
  <c r="BA93" i="11"/>
  <c r="BA22" i="11"/>
  <c r="BA59" i="11"/>
  <c r="BA44" i="11"/>
  <c r="BA64" i="11"/>
  <c r="BA29" i="11"/>
  <c r="BA85" i="11"/>
  <c r="AW92" i="11"/>
  <c r="AW100" i="11"/>
  <c r="AW108" i="11"/>
  <c r="AW9" i="11"/>
  <c r="AW17" i="11"/>
  <c r="AW25" i="11"/>
  <c r="AW88" i="11"/>
  <c r="AW99" i="11"/>
  <c r="AW3" i="11"/>
  <c r="AW12" i="11"/>
  <c r="AW14" i="11"/>
  <c r="AW23" i="11"/>
  <c r="AW35" i="11"/>
  <c r="AW43" i="11"/>
  <c r="AW51" i="11"/>
  <c r="AW59" i="11"/>
  <c r="AW67" i="11"/>
  <c r="AW75" i="11"/>
  <c r="AW83" i="11"/>
  <c r="AW94" i="11"/>
  <c r="AW103" i="11"/>
  <c r="AW105" i="11"/>
  <c r="AW7" i="11"/>
  <c r="AW18" i="11"/>
  <c r="AW29" i="11"/>
  <c r="AW37" i="11"/>
  <c r="AW45" i="11"/>
  <c r="AW53" i="11"/>
  <c r="AW61" i="11"/>
  <c r="AW69" i="11"/>
  <c r="AW77" i="11"/>
  <c r="AW85" i="11"/>
  <c r="AW96" i="11"/>
  <c r="AW107" i="11"/>
  <c r="AW11" i="11"/>
  <c r="AW20" i="11"/>
  <c r="AW22" i="11"/>
  <c r="AW34" i="11"/>
  <c r="AW42" i="11"/>
  <c r="AW50" i="11"/>
  <c r="AW58" i="11"/>
  <c r="AW66" i="11"/>
  <c r="AW74" i="11"/>
  <c r="AW82" i="11"/>
  <c r="AW2" i="11"/>
  <c r="AW91" i="11"/>
  <c r="AW102" i="11"/>
  <c r="AW4" i="11"/>
  <c r="AW6" i="11"/>
  <c r="AW13" i="11"/>
  <c r="AW30" i="11"/>
  <c r="AW48" i="11"/>
  <c r="AW79" i="11"/>
  <c r="AW84" i="11"/>
  <c r="AW95" i="11"/>
  <c r="AW106" i="11"/>
  <c r="AW10" i="11"/>
  <c r="AW16" i="11"/>
  <c r="AW19" i="11"/>
  <c r="AW33" i="11"/>
  <c r="AW38" i="11"/>
  <c r="AW56" i="11"/>
  <c r="AW28" i="11"/>
  <c r="AW31" i="11"/>
  <c r="AW36" i="11"/>
  <c r="AW41" i="11"/>
  <c r="AW46" i="11"/>
  <c r="AW64" i="11"/>
  <c r="AW89" i="11"/>
  <c r="AW39" i="11"/>
  <c r="AW44" i="11"/>
  <c r="AW49" i="11"/>
  <c r="AW54" i="11"/>
  <c r="AW72" i="11"/>
  <c r="AW86" i="11"/>
  <c r="AW97" i="11"/>
  <c r="AW55" i="11"/>
  <c r="AW60" i="11"/>
  <c r="AW65" i="11"/>
  <c r="AW70" i="11"/>
  <c r="AW87" i="11"/>
  <c r="AW26" i="11"/>
  <c r="AW47" i="11"/>
  <c r="AW98" i="11"/>
  <c r="AW40" i="11"/>
  <c r="AW68" i="11"/>
  <c r="AW81" i="11"/>
  <c r="AW90" i="11"/>
  <c r="AW109" i="11"/>
  <c r="AW27" i="11"/>
  <c r="AW62" i="11"/>
  <c r="AW101" i="11"/>
  <c r="AW63" i="11"/>
  <c r="AW76" i="11"/>
  <c r="AW93" i="11"/>
  <c r="AW5" i="11"/>
  <c r="AW21" i="11"/>
  <c r="AW57" i="11"/>
  <c r="AW104" i="11"/>
  <c r="AW15" i="11"/>
  <c r="AW8" i="11"/>
  <c r="AW32" i="11"/>
  <c r="AW52" i="11"/>
  <c r="AW71" i="11"/>
  <c r="AW73" i="11"/>
  <c r="AW78" i="11"/>
  <c r="AW24" i="11"/>
  <c r="AW80" i="11"/>
  <c r="AX87" i="11"/>
  <c r="AX95" i="11"/>
  <c r="AX103" i="11"/>
  <c r="AX4" i="11"/>
  <c r="AX12" i="11"/>
  <c r="AX20" i="11"/>
  <c r="AX28" i="11"/>
  <c r="AX86" i="11"/>
  <c r="AX97" i="11"/>
  <c r="AX106" i="11"/>
  <c r="AX108" i="11"/>
  <c r="AX10" i="11"/>
  <c r="AX21" i="11"/>
  <c r="AX30" i="11"/>
  <c r="AX38" i="11"/>
  <c r="AX46" i="11"/>
  <c r="AX54" i="11"/>
  <c r="AX62" i="11"/>
  <c r="AX70" i="11"/>
  <c r="AX78" i="11"/>
  <c r="AX90" i="11"/>
  <c r="AX92" i="11"/>
  <c r="AX101" i="11"/>
  <c r="AX5" i="11"/>
  <c r="AX16" i="11"/>
  <c r="AX27" i="11"/>
  <c r="AX32" i="11"/>
  <c r="AX40" i="11"/>
  <c r="AX48" i="11"/>
  <c r="AX56" i="11"/>
  <c r="AX64" i="11"/>
  <c r="AX72" i="11"/>
  <c r="AX80" i="11"/>
  <c r="AX94" i="11"/>
  <c r="AX105" i="11"/>
  <c r="AX7" i="11"/>
  <c r="AX9" i="11"/>
  <c r="AX18" i="11"/>
  <c r="AX29" i="11"/>
  <c r="AX37" i="11"/>
  <c r="AX45" i="11"/>
  <c r="AX53" i="11"/>
  <c r="AX61" i="11"/>
  <c r="AX69" i="11"/>
  <c r="AX77" i="11"/>
  <c r="AX85" i="11"/>
  <c r="AX89" i="11"/>
  <c r="AX98" i="11"/>
  <c r="AX100" i="11"/>
  <c r="AX109" i="11"/>
  <c r="AX91" i="11"/>
  <c r="AX102" i="11"/>
  <c r="AX6" i="11"/>
  <c r="AX35" i="11"/>
  <c r="AX66" i="11"/>
  <c r="AX71" i="11"/>
  <c r="AX76" i="11"/>
  <c r="AX81" i="11"/>
  <c r="AX13" i="11"/>
  <c r="AX22" i="11"/>
  <c r="AX43" i="11"/>
  <c r="AX74" i="11"/>
  <c r="AX79" i="11"/>
  <c r="AX84" i="11"/>
  <c r="AX88" i="11"/>
  <c r="AX99" i="11"/>
  <c r="AX3" i="11"/>
  <c r="AX19" i="11"/>
  <c r="AX25" i="11"/>
  <c r="AX33" i="11"/>
  <c r="AX51" i="11"/>
  <c r="AX82" i="11"/>
  <c r="AX96" i="11"/>
  <c r="AX107" i="11"/>
  <c r="AX11" i="11"/>
  <c r="AX31" i="11"/>
  <c r="AX36" i="11"/>
  <c r="AX41" i="11"/>
  <c r="AX59" i="11"/>
  <c r="AX93" i="11"/>
  <c r="AX104" i="11"/>
  <c r="AX8" i="11"/>
  <c r="AX23" i="11"/>
  <c r="AX26" i="11"/>
  <c r="AX42" i="11"/>
  <c r="AX47" i="11"/>
  <c r="AX52" i="11"/>
  <c r="AX57" i="11"/>
  <c r="AX75" i="11"/>
  <c r="AX60" i="11"/>
  <c r="AX67" i="11"/>
  <c r="AX73" i="11"/>
  <c r="AX34" i="11"/>
  <c r="AX55" i="11"/>
  <c r="AX68" i="11"/>
  <c r="AX49" i="11"/>
  <c r="AX83" i="11"/>
  <c r="AX14" i="11"/>
  <c r="AX50" i="11"/>
  <c r="AX63" i="11"/>
  <c r="AX2" i="11"/>
  <c r="AX15" i="11"/>
  <c r="AX17" i="11"/>
  <c r="AX39" i="11"/>
  <c r="AX58" i="11"/>
  <c r="AX44" i="11"/>
  <c r="AX24" i="11"/>
  <c r="AX65" i="11"/>
  <c r="AY90" i="11"/>
  <c r="AY98" i="11"/>
  <c r="AY106" i="11"/>
  <c r="AY7" i="11"/>
  <c r="AY15" i="11"/>
  <c r="AY23" i="11"/>
  <c r="AY93" i="11"/>
  <c r="AY95" i="11"/>
  <c r="AY104" i="11"/>
  <c r="AY8" i="11"/>
  <c r="AY19" i="11"/>
  <c r="AY33" i="11"/>
  <c r="AY41" i="11"/>
  <c r="AY49" i="11"/>
  <c r="AY57" i="11"/>
  <c r="AY65" i="11"/>
  <c r="AY73" i="11"/>
  <c r="AY81" i="11"/>
  <c r="AY2" i="11"/>
  <c r="AY88" i="11"/>
  <c r="AY99" i="11"/>
  <c r="AY3" i="11"/>
  <c r="AY14" i="11"/>
  <c r="AY25" i="11"/>
  <c r="AY35" i="11"/>
  <c r="AY43" i="11"/>
  <c r="AY51" i="11"/>
  <c r="AY59" i="11"/>
  <c r="AY67" i="11"/>
  <c r="AY75" i="11"/>
  <c r="AY83" i="11"/>
  <c r="AY92" i="11"/>
  <c r="AY101" i="11"/>
  <c r="AY103" i="11"/>
  <c r="AY5" i="11"/>
  <c r="AY16" i="11"/>
  <c r="AY27" i="11"/>
  <c r="AY32" i="11"/>
  <c r="AY40" i="11"/>
  <c r="AY48" i="11"/>
  <c r="AY56" i="11"/>
  <c r="AY64" i="11"/>
  <c r="AY72" i="11"/>
  <c r="AY80" i="11"/>
  <c r="AY87" i="11"/>
  <c r="AY96" i="11"/>
  <c r="AY107" i="11"/>
  <c r="AY109" i="11"/>
  <c r="AY21" i="11"/>
  <c r="AY24" i="11"/>
  <c r="AY53" i="11"/>
  <c r="AY58" i="11"/>
  <c r="AY63" i="11"/>
  <c r="AY68" i="11"/>
  <c r="AY91" i="11"/>
  <c r="AY102" i="11"/>
  <c r="AY6" i="11"/>
  <c r="AY30" i="11"/>
  <c r="AY61" i="11"/>
  <c r="AY66" i="11"/>
  <c r="AY71" i="11"/>
  <c r="AY76" i="11"/>
  <c r="AY10" i="11"/>
  <c r="AY13" i="11"/>
  <c r="AY22" i="11"/>
  <c r="AY38" i="11"/>
  <c r="AY69" i="11"/>
  <c r="AY74" i="11"/>
  <c r="AY79" i="11"/>
  <c r="AY84" i="11"/>
  <c r="AY28" i="11"/>
  <c r="AY46" i="11"/>
  <c r="AY77" i="11"/>
  <c r="AY82" i="11"/>
  <c r="AY17" i="11"/>
  <c r="AY29" i="11"/>
  <c r="AY34" i="11"/>
  <c r="AY39" i="11"/>
  <c r="AY44" i="11"/>
  <c r="AY62" i="11"/>
  <c r="AY97" i="11"/>
  <c r="AY9" i="11"/>
  <c r="AY89" i="11"/>
  <c r="AY108" i="11"/>
  <c r="AY11" i="11"/>
  <c r="AY18" i="11"/>
  <c r="AY26" i="11"/>
  <c r="AY47" i="11"/>
  <c r="AY54" i="11"/>
  <c r="AY60" i="11"/>
  <c r="AY100" i="11"/>
  <c r="AY20" i="11"/>
  <c r="AY4" i="11"/>
  <c r="AY12" i="11"/>
  <c r="AY42" i="11"/>
  <c r="AY55" i="11"/>
  <c r="AY36" i="11"/>
  <c r="AY70" i="11"/>
  <c r="AY37" i="11"/>
  <c r="AY52" i="11"/>
  <c r="AY86" i="11"/>
  <c r="AY94" i="11"/>
  <c r="AY78" i="11"/>
  <c r="AY45" i="11"/>
  <c r="AY85" i="11"/>
  <c r="AY105" i="11"/>
  <c r="AY31" i="11"/>
  <c r="AY50" i="11"/>
  <c r="AZ93" i="11"/>
  <c r="AZ101" i="11"/>
  <c r="AZ109" i="11"/>
  <c r="AZ10" i="11"/>
  <c r="AZ18" i="11"/>
  <c r="AZ26" i="11"/>
  <c r="AZ91" i="11"/>
  <c r="AZ102" i="11"/>
  <c r="AZ6" i="11"/>
  <c r="AZ17" i="11"/>
  <c r="AZ28" i="11"/>
  <c r="AZ36" i="11"/>
  <c r="AZ44" i="11"/>
  <c r="AZ52" i="11"/>
  <c r="AZ60" i="11"/>
  <c r="AZ68" i="11"/>
  <c r="AZ76" i="11"/>
  <c r="AZ84" i="11"/>
  <c r="AZ86" i="11"/>
  <c r="AZ97" i="11"/>
  <c r="AZ108" i="11"/>
  <c r="AZ12" i="11"/>
  <c r="AZ21" i="11"/>
  <c r="AZ23" i="11"/>
  <c r="AZ30" i="11"/>
  <c r="AZ38" i="11"/>
  <c r="AZ46" i="11"/>
  <c r="AZ54" i="11"/>
  <c r="AZ62" i="11"/>
  <c r="AZ70" i="11"/>
  <c r="AZ78" i="11"/>
  <c r="AZ88" i="11"/>
  <c r="AZ90" i="11"/>
  <c r="AZ99" i="11"/>
  <c r="AZ3" i="11"/>
  <c r="AZ14" i="11"/>
  <c r="AZ25" i="11"/>
  <c r="AZ35" i="11"/>
  <c r="AZ43" i="11"/>
  <c r="AZ51" i="11"/>
  <c r="AZ59" i="11"/>
  <c r="AZ67" i="11"/>
  <c r="AZ75" i="11"/>
  <c r="AZ83" i="11"/>
  <c r="AZ94" i="11"/>
  <c r="AZ105" i="11"/>
  <c r="AZ9" i="11"/>
  <c r="AZ87" i="11"/>
  <c r="AZ98" i="11"/>
  <c r="AZ15" i="11"/>
  <c r="AZ27" i="11"/>
  <c r="AZ40" i="11"/>
  <c r="AZ45" i="11"/>
  <c r="AZ50" i="11"/>
  <c r="AZ55" i="11"/>
  <c r="AZ73" i="11"/>
  <c r="AZ2" i="11"/>
  <c r="AZ24" i="11"/>
  <c r="AZ48" i="11"/>
  <c r="AZ53" i="11"/>
  <c r="AZ58" i="11"/>
  <c r="AZ63" i="11"/>
  <c r="AZ81" i="11"/>
  <c r="AZ95" i="11"/>
  <c r="AZ106" i="11"/>
  <c r="AZ16" i="11"/>
  <c r="AZ56" i="11"/>
  <c r="AZ61" i="11"/>
  <c r="AZ66" i="11"/>
  <c r="AZ71" i="11"/>
  <c r="AZ92" i="11"/>
  <c r="AZ103" i="11"/>
  <c r="AZ7" i="11"/>
  <c r="AZ13" i="11"/>
  <c r="AZ19" i="11"/>
  <c r="AZ22" i="11"/>
  <c r="AZ33" i="11"/>
  <c r="AZ64" i="11"/>
  <c r="AZ69" i="11"/>
  <c r="AZ74" i="11"/>
  <c r="AZ79" i="11"/>
  <c r="AZ89" i="11"/>
  <c r="AZ100" i="11"/>
  <c r="AZ4" i="11"/>
  <c r="AZ11" i="11"/>
  <c r="AZ20" i="11"/>
  <c r="AZ31" i="11"/>
  <c r="AZ49" i="11"/>
  <c r="AZ80" i="11"/>
  <c r="AZ85" i="11"/>
  <c r="AZ107" i="11"/>
  <c r="AZ32" i="11"/>
  <c r="AZ39" i="11"/>
  <c r="AZ34" i="11"/>
  <c r="AZ41" i="11"/>
  <c r="AZ47" i="11"/>
  <c r="AZ82" i="11"/>
  <c r="AZ29" i="11"/>
  <c r="AZ42" i="11"/>
  <c r="AZ77" i="11"/>
  <c r="AZ5" i="11"/>
  <c r="AZ8" i="11"/>
  <c r="AZ72" i="11"/>
  <c r="AZ37" i="11"/>
  <c r="AZ57" i="11"/>
  <c r="AZ96" i="11"/>
  <c r="AZ104" i="11"/>
  <c r="AZ65" i="11"/>
  <c r="BL1" i="11"/>
  <c r="AS1" i="11"/>
  <c r="BG1" i="11"/>
  <c r="BC1" i="11"/>
  <c r="BP1" i="11"/>
  <c r="BH1" i="11"/>
  <c r="BI1" i="11"/>
  <c r="BJ1" i="11"/>
  <c r="BM1" i="11"/>
  <c r="BB1" i="11"/>
  <c r="BO1" i="11"/>
  <c r="BN1" i="11"/>
  <c r="BD1" i="11"/>
  <c r="BE1" i="11"/>
  <c r="BK1" i="11"/>
  <c r="BF1" i="11"/>
  <c r="U1" i="11"/>
  <c r="T1" i="11"/>
  <c r="S1" i="11"/>
  <c r="R1" i="11"/>
  <c r="Q1" i="11"/>
  <c r="CP14" i="27" l="1"/>
  <c r="CQ14" i="27" s="1"/>
  <c r="CN14" i="27"/>
  <c r="CO14" i="27"/>
  <c r="CK15" i="27"/>
  <c r="AS13" i="27"/>
  <c r="AT13" i="27"/>
  <c r="AU13" i="27"/>
  <c r="AV13" i="27"/>
  <c r="AW13" i="27"/>
  <c r="AX13" i="27" s="1"/>
  <c r="AR13" i="27"/>
  <c r="AS87" i="11"/>
  <c r="AS94" i="11"/>
  <c r="AS77" i="11"/>
  <c r="AS68" i="11"/>
  <c r="AS82" i="11"/>
  <c r="AS108" i="11"/>
  <c r="AS61" i="11"/>
  <c r="AS79" i="11"/>
  <c r="AS86" i="11"/>
  <c r="AS69" i="11"/>
  <c r="AS74" i="11"/>
  <c r="AS83" i="11"/>
  <c r="AS105" i="11"/>
  <c r="AS95" i="11"/>
  <c r="AS92" i="11"/>
  <c r="AS104" i="11"/>
  <c r="AS78" i="11"/>
  <c r="AS66" i="11"/>
  <c r="AS97" i="11"/>
  <c r="AS71" i="11"/>
  <c r="AS76" i="11"/>
  <c r="AS96" i="11"/>
  <c r="AS70" i="11"/>
  <c r="AS107" i="11"/>
  <c r="AS89" i="11"/>
  <c r="AS88" i="11"/>
  <c r="AS62" i="11"/>
  <c r="AS109" i="11"/>
  <c r="AS91" i="11"/>
  <c r="AS81" i="11"/>
  <c r="AS80" i="11"/>
  <c r="AS101" i="11"/>
  <c r="AS67" i="11"/>
  <c r="AS106" i="11"/>
  <c r="AS63" i="11"/>
  <c r="AS73" i="11"/>
  <c r="AS72" i="11"/>
  <c r="AS93" i="11"/>
  <c r="AS100" i="11"/>
  <c r="AS98" i="11"/>
  <c r="AS65" i="11"/>
  <c r="AS99" i="11"/>
  <c r="AS64" i="11"/>
  <c r="AS103" i="11"/>
  <c r="AS102" i="11"/>
  <c r="AS85" i="11"/>
  <c r="AS84" i="11"/>
  <c r="AS90" i="11"/>
  <c r="AS75" i="11"/>
  <c r="BL83" i="11"/>
  <c r="BO101" i="11"/>
  <c r="BP88" i="11"/>
  <c r="BM83" i="11"/>
  <c r="BM109" i="11"/>
  <c r="BN90" i="11"/>
  <c r="BP103" i="11"/>
  <c r="BO100" i="11"/>
  <c r="BN96" i="11"/>
  <c r="BN101" i="11"/>
  <c r="BN85" i="11"/>
  <c r="BO90" i="11"/>
  <c r="BM76" i="11"/>
  <c r="BO107" i="11"/>
  <c r="BO62" i="11"/>
  <c r="BO87" i="11"/>
  <c r="BN87" i="11"/>
  <c r="BN64" i="11"/>
  <c r="BN73" i="11"/>
  <c r="BN61" i="11"/>
  <c r="BN78" i="11"/>
  <c r="BL106" i="11"/>
  <c r="BL103" i="11"/>
  <c r="BL105" i="11"/>
  <c r="BL87" i="11"/>
  <c r="BL78" i="11"/>
  <c r="BL89" i="11"/>
  <c r="BL101" i="11"/>
  <c r="BL70" i="11"/>
  <c r="BL104" i="11"/>
  <c r="BL66" i="11"/>
  <c r="BL73" i="11"/>
  <c r="BO78" i="11"/>
  <c r="BO102" i="11"/>
  <c r="BN76" i="11"/>
  <c r="BM70" i="11"/>
  <c r="BM62" i="11"/>
  <c r="BM72" i="11"/>
  <c r="BM88" i="11"/>
  <c r="BM91" i="11"/>
  <c r="BM97" i="11"/>
  <c r="BM87" i="11"/>
  <c r="BO67" i="11"/>
  <c r="BO88" i="11"/>
  <c r="BO93" i="11"/>
  <c r="BO79" i="11"/>
  <c r="BO72" i="11"/>
  <c r="BO75" i="11"/>
  <c r="BO83" i="11"/>
  <c r="BO109" i="11"/>
  <c r="BO74" i="11"/>
  <c r="BO94" i="11"/>
  <c r="BO97" i="11"/>
  <c r="BO71" i="11"/>
  <c r="BO76" i="11"/>
  <c r="BO85" i="11"/>
  <c r="BN71" i="11"/>
  <c r="BN77" i="11"/>
  <c r="BO68" i="11"/>
  <c r="BO80" i="11"/>
  <c r="BN69" i="11"/>
  <c r="BO64" i="11"/>
  <c r="BO70" i="11"/>
  <c r="BO66" i="11"/>
  <c r="BO61" i="11"/>
  <c r="BO84" i="11"/>
  <c r="BO103" i="11"/>
  <c r="BO77" i="11"/>
  <c r="BN63" i="11"/>
  <c r="BN93" i="11"/>
  <c r="BN65" i="11"/>
  <c r="BN80" i="11"/>
  <c r="BN86" i="11"/>
  <c r="BN94" i="11"/>
  <c r="BN100" i="11"/>
  <c r="BN74" i="11"/>
  <c r="BO86" i="11"/>
  <c r="BO105" i="11"/>
  <c r="BN103" i="11"/>
  <c r="BN99" i="11"/>
  <c r="BM82" i="11"/>
  <c r="BO98" i="11"/>
  <c r="BO92" i="11"/>
  <c r="BO104" i="11"/>
  <c r="BO89" i="11"/>
  <c r="BO65" i="11"/>
  <c r="BN95" i="11"/>
  <c r="BN70" i="11"/>
  <c r="BN81" i="11"/>
  <c r="BO96" i="11"/>
  <c r="BO106" i="11"/>
  <c r="BO91" i="11"/>
  <c r="BO108" i="11"/>
  <c r="BO63" i="11"/>
  <c r="BO81" i="11"/>
  <c r="BO99" i="11"/>
  <c r="BO73" i="11"/>
  <c r="BO82" i="11"/>
  <c r="BO95" i="11"/>
  <c r="BO69" i="11"/>
  <c r="BN109" i="11"/>
  <c r="BN104" i="11"/>
  <c r="BP81" i="11"/>
  <c r="BP73" i="11"/>
  <c r="BP75" i="11"/>
  <c r="BP65" i="11"/>
  <c r="BP109" i="11"/>
  <c r="BP86" i="11"/>
  <c r="BP77" i="11"/>
  <c r="BP66" i="11"/>
  <c r="BP97" i="11"/>
  <c r="BP108" i="11"/>
  <c r="BP69" i="11"/>
  <c r="BP106" i="11"/>
  <c r="BP83" i="11"/>
  <c r="BN68" i="11"/>
  <c r="BN98" i="11"/>
  <c r="BN97" i="11"/>
  <c r="BN89" i="11"/>
  <c r="BN83" i="11"/>
  <c r="BN91" i="11"/>
  <c r="BN102" i="11"/>
  <c r="BN62" i="11"/>
  <c r="BN108" i="11"/>
  <c r="BN67" i="11"/>
  <c r="BN82" i="11"/>
  <c r="BM103" i="11"/>
  <c r="BM74" i="11"/>
  <c r="BM73" i="11"/>
  <c r="BM106" i="11"/>
  <c r="BM67" i="11"/>
  <c r="BM100" i="11"/>
  <c r="BM92" i="11"/>
  <c r="BM94" i="11"/>
  <c r="BM77" i="11"/>
  <c r="BM86" i="11"/>
  <c r="BM89" i="11"/>
  <c r="BM79" i="11"/>
  <c r="BL91" i="11"/>
  <c r="BL86" i="11"/>
  <c r="BL85" i="11"/>
  <c r="BL98" i="11"/>
  <c r="BL100" i="11"/>
  <c r="BL75" i="11"/>
  <c r="BL72" i="11"/>
  <c r="BL93" i="11"/>
  <c r="BL96" i="11"/>
  <c r="BL102" i="11"/>
  <c r="BL71" i="11"/>
  <c r="BL84" i="11"/>
  <c r="BP93" i="11"/>
  <c r="BP62" i="11"/>
  <c r="BP104" i="11"/>
  <c r="BP101" i="11"/>
  <c r="BP68" i="11"/>
  <c r="BP89" i="11"/>
  <c r="BP100" i="11"/>
  <c r="BP67" i="11"/>
  <c r="BP98" i="11"/>
  <c r="BP74" i="11"/>
  <c r="BP80" i="11"/>
  <c r="BM61" i="11"/>
  <c r="BM93" i="11"/>
  <c r="BM101" i="11"/>
  <c r="BM95" i="11"/>
  <c r="BM84" i="11"/>
  <c r="BM102" i="11"/>
  <c r="BM65" i="11"/>
  <c r="BM104" i="11"/>
  <c r="BM68" i="11"/>
  <c r="BM107" i="11"/>
  <c r="BM75" i="11"/>
  <c r="BM80" i="11"/>
  <c r="BM71" i="11"/>
  <c r="BL67" i="11"/>
  <c r="BL80" i="11"/>
  <c r="BL99" i="11"/>
  <c r="BL95" i="11"/>
  <c r="BL97" i="11"/>
  <c r="BL69" i="11"/>
  <c r="BL65" i="11"/>
  <c r="BL61" i="11"/>
  <c r="BL81" i="11"/>
  <c r="BL88" i="11"/>
  <c r="BL94" i="11"/>
  <c r="BL62" i="11"/>
  <c r="BL76" i="11"/>
  <c r="BP87" i="11"/>
  <c r="BP70" i="11"/>
  <c r="BP76" i="11"/>
  <c r="BP107" i="11"/>
  <c r="BP99" i="11"/>
  <c r="BP96" i="11"/>
  <c r="BP82" i="11"/>
  <c r="BP92" i="11"/>
  <c r="BP90" i="11"/>
  <c r="BP63" i="11"/>
  <c r="BP72" i="11"/>
  <c r="BN79" i="11"/>
  <c r="BN106" i="11"/>
  <c r="BN88" i="11"/>
  <c r="BN105" i="11"/>
  <c r="BN72" i="11"/>
  <c r="BN107" i="11"/>
  <c r="BN75" i="11"/>
  <c r="BN84" i="11"/>
  <c r="BN92" i="11"/>
  <c r="BN66" i="11"/>
  <c r="BM98" i="11"/>
  <c r="BM108" i="11"/>
  <c r="BM85" i="11"/>
  <c r="BM90" i="11"/>
  <c r="BM78" i="11"/>
  <c r="BM81" i="11"/>
  <c r="BM96" i="11"/>
  <c r="BM66" i="11"/>
  <c r="BM99" i="11"/>
  <c r="BM64" i="11"/>
  <c r="BM105" i="11"/>
  <c r="BM69" i="11"/>
  <c r="BM63" i="11"/>
  <c r="BL74" i="11"/>
  <c r="BL64" i="11"/>
  <c r="BL108" i="11"/>
  <c r="BL90" i="11"/>
  <c r="BL92" i="11"/>
  <c r="BL107" i="11"/>
  <c r="BL63" i="11"/>
  <c r="BL109" i="11"/>
  <c r="BL79" i="11"/>
  <c r="BL77" i="11"/>
  <c r="BL82" i="11"/>
  <c r="BL68" i="11"/>
  <c r="BP79" i="11"/>
  <c r="BP95" i="11"/>
  <c r="BP84" i="11"/>
  <c r="BP102" i="11"/>
  <c r="BP94" i="11"/>
  <c r="BP91" i="11"/>
  <c r="BP105" i="11"/>
  <c r="BP71" i="11"/>
  <c r="BP61" i="11"/>
  <c r="BP78" i="11"/>
  <c r="BP85" i="11"/>
  <c r="BP64" i="11"/>
  <c r="S8" i="11"/>
  <c r="S16" i="11"/>
  <c r="S24" i="11"/>
  <c r="S32" i="11"/>
  <c r="S40" i="11"/>
  <c r="S48" i="11"/>
  <c r="S56" i="11"/>
  <c r="S64" i="11"/>
  <c r="S72" i="11"/>
  <c r="S80" i="11"/>
  <c r="S5" i="11"/>
  <c r="S13" i="11"/>
  <c r="S21" i="11"/>
  <c r="S29" i="11"/>
  <c r="S37" i="11"/>
  <c r="S45" i="11"/>
  <c r="S53" i="11"/>
  <c r="S61" i="11"/>
  <c r="S69" i="11"/>
  <c r="S77" i="11"/>
  <c r="S7" i="11"/>
  <c r="S15" i="11"/>
  <c r="S23" i="11"/>
  <c r="S31" i="11"/>
  <c r="S39" i="11"/>
  <c r="S47" i="11"/>
  <c r="S55" i="11"/>
  <c r="S63" i="11"/>
  <c r="S71" i="11"/>
  <c r="S79" i="11"/>
  <c r="S87" i="11"/>
  <c r="S12" i="11"/>
  <c r="S17" i="11"/>
  <c r="S22" i="11"/>
  <c r="S27" i="11"/>
  <c r="S58" i="11"/>
  <c r="S76" i="11"/>
  <c r="S81" i="11"/>
  <c r="S93" i="11"/>
  <c r="S101" i="11"/>
  <c r="S109" i="11"/>
  <c r="S20" i="11"/>
  <c r="S25" i="11"/>
  <c r="S30" i="11"/>
  <c r="S35" i="11"/>
  <c r="S66" i="11"/>
  <c r="S83" i="11"/>
  <c r="S90" i="11"/>
  <c r="S98" i="11"/>
  <c r="S106" i="11"/>
  <c r="S10" i="11"/>
  <c r="S28" i="11"/>
  <c r="S33" i="11"/>
  <c r="S38" i="11"/>
  <c r="S43" i="11"/>
  <c r="S74" i="11"/>
  <c r="S85" i="11"/>
  <c r="S18" i="11"/>
  <c r="S26" i="11"/>
  <c r="S44" i="11"/>
  <c r="S49" i="11"/>
  <c r="S54" i="11"/>
  <c r="S59" i="11"/>
  <c r="S89" i="11"/>
  <c r="S3" i="11"/>
  <c r="S9" i="11"/>
  <c r="S60" i="11"/>
  <c r="S65" i="11"/>
  <c r="S70" i="11"/>
  <c r="S75" i="11"/>
  <c r="S91" i="11"/>
  <c r="S94" i="11"/>
  <c r="S103" i="11"/>
  <c r="S105" i="11"/>
  <c r="S107" i="11"/>
  <c r="S50" i="11"/>
  <c r="S88" i="11"/>
  <c r="S4" i="11"/>
  <c r="S11" i="11"/>
  <c r="S36" i="11"/>
  <c r="S41" i="11"/>
  <c r="S46" i="11"/>
  <c r="S51" i="11"/>
  <c r="S92" i="11"/>
  <c r="S97" i="11"/>
  <c r="S99" i="11"/>
  <c r="S2" i="11"/>
  <c r="S52" i="11"/>
  <c r="S57" i="11"/>
  <c r="S62" i="11"/>
  <c r="S67" i="11"/>
  <c r="S82" i="11"/>
  <c r="S95" i="11"/>
  <c r="S108" i="11"/>
  <c r="S6" i="11"/>
  <c r="S19" i="11"/>
  <c r="S42" i="11"/>
  <c r="S86" i="11"/>
  <c r="S68" i="11"/>
  <c r="S73" i="11"/>
  <c r="S78" i="11"/>
  <c r="S100" i="11"/>
  <c r="S102" i="11"/>
  <c r="S104" i="11"/>
  <c r="S14" i="11"/>
  <c r="S34" i="11"/>
  <c r="S84" i="11"/>
  <c r="S96" i="11"/>
  <c r="Q10" i="11"/>
  <c r="Q18" i="11"/>
  <c r="Q26" i="11"/>
  <c r="Q34" i="11"/>
  <c r="Q42" i="11"/>
  <c r="Q50" i="11"/>
  <c r="Q58" i="11"/>
  <c r="Q66" i="11"/>
  <c r="Q74" i="11"/>
  <c r="Q7" i="11"/>
  <c r="Q15" i="11"/>
  <c r="Q23" i="11"/>
  <c r="Q31" i="11"/>
  <c r="Q39" i="11"/>
  <c r="Q47" i="11"/>
  <c r="Q55" i="11"/>
  <c r="Q63" i="11"/>
  <c r="Q71" i="11"/>
  <c r="Q79" i="11"/>
  <c r="Q9" i="11"/>
  <c r="Q17" i="11"/>
  <c r="Q25" i="11"/>
  <c r="Q33" i="11"/>
  <c r="Q41" i="11"/>
  <c r="Q49" i="11"/>
  <c r="Q57" i="11"/>
  <c r="Q65" i="11"/>
  <c r="Q73" i="11"/>
  <c r="Q81" i="11"/>
  <c r="Q20" i="11"/>
  <c r="Q38" i="11"/>
  <c r="Q43" i="11"/>
  <c r="Q48" i="11"/>
  <c r="Q53" i="11"/>
  <c r="Q85" i="11"/>
  <c r="Q95" i="11"/>
  <c r="Q103" i="11"/>
  <c r="Q28" i="11"/>
  <c r="Q46" i="11"/>
  <c r="Q51" i="11"/>
  <c r="Q56" i="11"/>
  <c r="Q61" i="11"/>
  <c r="Q87" i="11"/>
  <c r="Q92" i="11"/>
  <c r="Q100" i="11"/>
  <c r="Q108" i="11"/>
  <c r="Q5" i="11"/>
  <c r="Q36" i="11"/>
  <c r="Q54" i="11"/>
  <c r="Q59" i="11"/>
  <c r="Q64" i="11"/>
  <c r="Q69" i="11"/>
  <c r="Q89" i="11"/>
  <c r="Q3" i="11"/>
  <c r="Q8" i="11"/>
  <c r="Q13" i="11"/>
  <c r="Q6" i="11"/>
  <c r="Q11" i="11"/>
  <c r="Q16" i="11"/>
  <c r="Q21" i="11"/>
  <c r="Q52" i="11"/>
  <c r="Q70" i="11"/>
  <c r="Q75" i="11"/>
  <c r="Q80" i="11"/>
  <c r="Q84" i="11"/>
  <c r="Q86" i="11"/>
  <c r="Q91" i="11"/>
  <c r="Q24" i="11"/>
  <c r="Q97" i="11"/>
  <c r="Q99" i="11"/>
  <c r="Q101" i="11"/>
  <c r="Q4" i="11"/>
  <c r="Q30" i="11"/>
  <c r="Q35" i="11"/>
  <c r="Q40" i="11"/>
  <c r="Q45" i="11"/>
  <c r="Q76" i="11"/>
  <c r="Q19" i="11"/>
  <c r="Q62" i="11"/>
  <c r="Q67" i="11"/>
  <c r="Q72" i="11"/>
  <c r="Q77" i="11"/>
  <c r="Q82" i="11"/>
  <c r="Q12" i="11"/>
  <c r="Q78" i="11"/>
  <c r="Q102" i="11"/>
  <c r="Q104" i="11"/>
  <c r="Q106" i="11"/>
  <c r="Q14" i="11"/>
  <c r="Q27" i="11"/>
  <c r="Q32" i="11"/>
  <c r="Q37" i="11"/>
  <c r="Q68" i="11"/>
  <c r="Q93" i="11"/>
  <c r="Q83" i="11"/>
  <c r="Q90" i="11"/>
  <c r="Q96" i="11"/>
  <c r="Q98" i="11"/>
  <c r="Q2" i="11"/>
  <c r="Q22" i="11"/>
  <c r="Q44" i="11"/>
  <c r="Q105" i="11"/>
  <c r="Q107" i="11"/>
  <c r="Q109" i="11"/>
  <c r="Q29" i="11"/>
  <c r="Q60" i="11"/>
  <c r="Q88" i="11"/>
  <c r="Q94" i="11"/>
  <c r="T3" i="11"/>
  <c r="T11" i="11"/>
  <c r="T19" i="11"/>
  <c r="T27" i="11"/>
  <c r="T35" i="11"/>
  <c r="T43" i="11"/>
  <c r="T51" i="11"/>
  <c r="T59" i="11"/>
  <c r="T67" i="11"/>
  <c r="T75" i="11"/>
  <c r="T8" i="11"/>
  <c r="T16" i="11"/>
  <c r="T24" i="11"/>
  <c r="T32" i="11"/>
  <c r="T40" i="11"/>
  <c r="T48" i="11"/>
  <c r="T56" i="11"/>
  <c r="T64" i="11"/>
  <c r="T72" i="11"/>
  <c r="T80" i="11"/>
  <c r="T10" i="11"/>
  <c r="T18" i="11"/>
  <c r="T26" i="11"/>
  <c r="T34" i="11"/>
  <c r="T42" i="11"/>
  <c r="T50" i="11"/>
  <c r="T58" i="11"/>
  <c r="T66" i="11"/>
  <c r="T74" i="11"/>
  <c r="T82" i="11"/>
  <c r="T4" i="11"/>
  <c r="T9" i="11"/>
  <c r="T14" i="11"/>
  <c r="T45" i="11"/>
  <c r="T63" i="11"/>
  <c r="T68" i="11"/>
  <c r="T73" i="11"/>
  <c r="T78" i="11"/>
  <c r="T88" i="11"/>
  <c r="T96" i="11"/>
  <c r="T104" i="11"/>
  <c r="T7" i="11"/>
  <c r="T12" i="11"/>
  <c r="T17" i="11"/>
  <c r="T22" i="11"/>
  <c r="T53" i="11"/>
  <c r="T71" i="11"/>
  <c r="T76" i="11"/>
  <c r="T81" i="11"/>
  <c r="T93" i="11"/>
  <c r="T101" i="11"/>
  <c r="T109" i="11"/>
  <c r="T15" i="11"/>
  <c r="T20" i="11"/>
  <c r="T25" i="11"/>
  <c r="T30" i="11"/>
  <c r="T61" i="11"/>
  <c r="T79" i="11"/>
  <c r="T83" i="11"/>
  <c r="T90" i="11"/>
  <c r="T5" i="11"/>
  <c r="T23" i="11"/>
  <c r="T13" i="11"/>
  <c r="T31" i="11"/>
  <c r="T36" i="11"/>
  <c r="T41" i="11"/>
  <c r="T46" i="11"/>
  <c r="T77" i="11"/>
  <c r="T92" i="11"/>
  <c r="T29" i="11"/>
  <c r="T84" i="11"/>
  <c r="T55" i="11"/>
  <c r="T60" i="11"/>
  <c r="T65" i="11"/>
  <c r="T70" i="11"/>
  <c r="T91" i="11"/>
  <c r="T94" i="11"/>
  <c r="T103" i="11"/>
  <c r="T105" i="11"/>
  <c r="T107" i="11"/>
  <c r="T85" i="11"/>
  <c r="T89" i="11"/>
  <c r="T97" i="11"/>
  <c r="T99" i="11"/>
  <c r="T2" i="11"/>
  <c r="T47" i="11"/>
  <c r="T52" i="11"/>
  <c r="T57" i="11"/>
  <c r="T62" i="11"/>
  <c r="T95" i="11"/>
  <c r="T106" i="11"/>
  <c r="T108" i="11"/>
  <c r="T6" i="11"/>
  <c r="T21" i="11"/>
  <c r="T37" i="11"/>
  <c r="T86" i="11"/>
  <c r="T28" i="11"/>
  <c r="T33" i="11"/>
  <c r="T38" i="11"/>
  <c r="T69" i="11"/>
  <c r="T87" i="11"/>
  <c r="T98" i="11"/>
  <c r="T100" i="11"/>
  <c r="T102" i="11"/>
  <c r="T39" i="11"/>
  <c r="T44" i="11"/>
  <c r="T49" i="11"/>
  <c r="T54" i="11"/>
  <c r="U6" i="11"/>
  <c r="U14" i="11"/>
  <c r="U22" i="11"/>
  <c r="U30" i="11"/>
  <c r="U38" i="11"/>
  <c r="U46" i="11"/>
  <c r="U54" i="11"/>
  <c r="U62" i="11"/>
  <c r="U70" i="11"/>
  <c r="U78" i="11"/>
  <c r="U3" i="11"/>
  <c r="U11" i="11"/>
  <c r="U19" i="11"/>
  <c r="U27" i="11"/>
  <c r="U35" i="11"/>
  <c r="U43" i="11"/>
  <c r="U51" i="11"/>
  <c r="U59" i="11"/>
  <c r="U67" i="11"/>
  <c r="U75" i="11"/>
  <c r="U5" i="11"/>
  <c r="U13" i="11"/>
  <c r="U21" i="11"/>
  <c r="U29" i="11"/>
  <c r="U37" i="11"/>
  <c r="U45" i="11"/>
  <c r="U53" i="11"/>
  <c r="U61" i="11"/>
  <c r="U69" i="11"/>
  <c r="U77" i="11"/>
  <c r="U85" i="11"/>
  <c r="U32" i="11"/>
  <c r="U50" i="11"/>
  <c r="U55" i="11"/>
  <c r="U60" i="11"/>
  <c r="U65" i="11"/>
  <c r="U86" i="11"/>
  <c r="U91" i="11"/>
  <c r="U99" i="11"/>
  <c r="U107" i="11"/>
  <c r="U4" i="11"/>
  <c r="U9" i="11"/>
  <c r="U40" i="11"/>
  <c r="U58" i="11"/>
  <c r="U63" i="11"/>
  <c r="U68" i="11"/>
  <c r="U73" i="11"/>
  <c r="U88" i="11"/>
  <c r="U96" i="11"/>
  <c r="U104" i="11"/>
  <c r="U7" i="11"/>
  <c r="U12" i="11"/>
  <c r="U17" i="11"/>
  <c r="U48" i="11"/>
  <c r="U66" i="11"/>
  <c r="U71" i="11"/>
  <c r="U76" i="11"/>
  <c r="U81" i="11"/>
  <c r="U10" i="11"/>
  <c r="U15" i="11"/>
  <c r="U20" i="11"/>
  <c r="U25" i="11"/>
  <c r="U18" i="11"/>
  <c r="U23" i="11"/>
  <c r="U28" i="11"/>
  <c r="U33" i="11"/>
  <c r="U64" i="11"/>
  <c r="U87" i="11"/>
  <c r="U95" i="11"/>
  <c r="U16" i="11"/>
  <c r="U34" i="11"/>
  <c r="U39" i="11"/>
  <c r="U44" i="11"/>
  <c r="U49" i="11"/>
  <c r="U80" i="11"/>
  <c r="U109" i="11"/>
  <c r="U84" i="11"/>
  <c r="U24" i="11"/>
  <c r="U56" i="11"/>
  <c r="U94" i="11"/>
  <c r="U101" i="11"/>
  <c r="U103" i="11"/>
  <c r="U105" i="11"/>
  <c r="U26" i="11"/>
  <c r="U31" i="11"/>
  <c r="U36" i="11"/>
  <c r="U41" i="11"/>
  <c r="U72" i="11"/>
  <c r="U92" i="11"/>
  <c r="U82" i="11"/>
  <c r="U89" i="11"/>
  <c r="U97" i="11"/>
  <c r="U2" i="11"/>
  <c r="U42" i="11"/>
  <c r="U47" i="11"/>
  <c r="U52" i="11"/>
  <c r="U57" i="11"/>
  <c r="U106" i="11"/>
  <c r="U108" i="11"/>
  <c r="U8" i="11"/>
  <c r="U74" i="11"/>
  <c r="U79" i="11"/>
  <c r="U83" i="11"/>
  <c r="U90" i="11"/>
  <c r="U93" i="11"/>
  <c r="U98" i="11"/>
  <c r="U100" i="11"/>
  <c r="U102" i="11"/>
  <c r="W1" i="11"/>
  <c r="R5" i="11"/>
  <c r="R13" i="11"/>
  <c r="R21" i="11"/>
  <c r="R29" i="11"/>
  <c r="R37" i="11"/>
  <c r="R45" i="11"/>
  <c r="R53" i="11"/>
  <c r="R61" i="11"/>
  <c r="R69" i="11"/>
  <c r="R77" i="11"/>
  <c r="R10" i="11"/>
  <c r="R18" i="11"/>
  <c r="R26" i="11"/>
  <c r="R34" i="11"/>
  <c r="R42" i="11"/>
  <c r="R50" i="11"/>
  <c r="R58" i="11"/>
  <c r="R66" i="11"/>
  <c r="R74" i="11"/>
  <c r="R4" i="11"/>
  <c r="R12" i="11"/>
  <c r="R20" i="11"/>
  <c r="R28" i="11"/>
  <c r="R36" i="11"/>
  <c r="R44" i="11"/>
  <c r="R52" i="11"/>
  <c r="R60" i="11"/>
  <c r="R68" i="11"/>
  <c r="R76" i="11"/>
  <c r="R84" i="11"/>
  <c r="R7" i="11"/>
  <c r="R25" i="11"/>
  <c r="R30" i="11"/>
  <c r="R35" i="11"/>
  <c r="R40" i="11"/>
  <c r="R71" i="11"/>
  <c r="R83" i="11"/>
  <c r="R90" i="11"/>
  <c r="R98" i="11"/>
  <c r="R106" i="11"/>
  <c r="R15" i="11"/>
  <c r="R33" i="11"/>
  <c r="R38" i="11"/>
  <c r="R43" i="11"/>
  <c r="R48" i="11"/>
  <c r="R79" i="11"/>
  <c r="R85" i="11"/>
  <c r="R95" i="11"/>
  <c r="R103" i="11"/>
  <c r="R23" i="11"/>
  <c r="R41" i="11"/>
  <c r="R46" i="11"/>
  <c r="R51" i="11"/>
  <c r="R56" i="11"/>
  <c r="R87" i="11"/>
  <c r="R92" i="11"/>
  <c r="R3" i="11"/>
  <c r="R8" i="11"/>
  <c r="R39" i="11"/>
  <c r="R57" i="11"/>
  <c r="R62" i="11"/>
  <c r="R67" i="11"/>
  <c r="R72" i="11"/>
  <c r="R82" i="11"/>
  <c r="R94" i="11"/>
  <c r="R55" i="11"/>
  <c r="R88" i="11"/>
  <c r="R11" i="11"/>
  <c r="R17" i="11"/>
  <c r="R24" i="11"/>
  <c r="R81" i="11"/>
  <c r="R97" i="11"/>
  <c r="R99" i="11"/>
  <c r="R101" i="11"/>
  <c r="R2" i="11"/>
  <c r="R31" i="11"/>
  <c r="R89" i="11"/>
  <c r="R108" i="11"/>
  <c r="R6" i="11"/>
  <c r="R19" i="11"/>
  <c r="R47" i="11"/>
  <c r="R86" i="11"/>
  <c r="R73" i="11"/>
  <c r="R78" i="11"/>
  <c r="R100" i="11"/>
  <c r="R102" i="11"/>
  <c r="R104" i="11"/>
  <c r="R14" i="11"/>
  <c r="R27" i="11"/>
  <c r="R32" i="11"/>
  <c r="R63" i="11"/>
  <c r="R93" i="11"/>
  <c r="R49" i="11"/>
  <c r="R54" i="11"/>
  <c r="R59" i="11"/>
  <c r="R64" i="11"/>
  <c r="R96" i="11"/>
  <c r="R9" i="11"/>
  <c r="R16" i="11"/>
  <c r="R22" i="11"/>
  <c r="R65" i="11"/>
  <c r="R70" i="11"/>
  <c r="R75" i="11"/>
  <c r="R80" i="11"/>
  <c r="R91" i="11"/>
  <c r="R105" i="11"/>
  <c r="R107" i="11"/>
  <c r="R109" i="11"/>
  <c r="AJ1" i="11"/>
  <c r="AE1" i="11"/>
  <c r="AI1" i="11"/>
  <c r="AD1" i="11"/>
  <c r="AH1" i="11"/>
  <c r="AC1" i="11"/>
  <c r="AG1" i="11"/>
  <c r="AB1" i="11"/>
  <c r="AA1" i="11"/>
  <c r="AF1" i="11"/>
  <c r="V1" i="11"/>
  <c r="Z1" i="11"/>
  <c r="Y1" i="11"/>
  <c r="X1" i="11"/>
  <c r="CP15" i="27" l="1"/>
  <c r="CQ15" i="27" s="1"/>
  <c r="CN15" i="27"/>
  <c r="CK16" i="27"/>
  <c r="CO15" i="27"/>
  <c r="AW14" i="27"/>
  <c r="AX14" i="27" s="1"/>
  <c r="AR14" i="27"/>
  <c r="AU14" i="27"/>
  <c r="AT14" i="27"/>
  <c r="AV14" i="27"/>
  <c r="AS14" i="27"/>
  <c r="AF81" i="11"/>
  <c r="AH65" i="11"/>
  <c r="AJ98" i="11"/>
  <c r="AI103" i="11"/>
  <c r="AI92" i="11"/>
  <c r="AI100" i="11"/>
  <c r="AJ100" i="11"/>
  <c r="AJ93" i="11"/>
  <c r="AJ94" i="11"/>
  <c r="AI87" i="11"/>
  <c r="AI73" i="11"/>
  <c r="AI62" i="11"/>
  <c r="AJ83" i="11"/>
  <c r="AJ75" i="11"/>
  <c r="AJ72" i="11"/>
  <c r="AI93" i="11"/>
  <c r="AI104" i="11"/>
  <c r="AJ106" i="11"/>
  <c r="AJ77" i="11"/>
  <c r="AJ80" i="11"/>
  <c r="AI98" i="11"/>
  <c r="AI95" i="11"/>
  <c r="AI101" i="11"/>
  <c r="AJ95" i="11"/>
  <c r="AJ84" i="11"/>
  <c r="AJ105" i="11"/>
  <c r="AI89" i="11"/>
  <c r="AI68" i="11"/>
  <c r="AG108" i="11"/>
  <c r="AJ61" i="11"/>
  <c r="AJ90" i="11"/>
  <c r="AJ79" i="11"/>
  <c r="AJ76" i="11"/>
  <c r="AJ64" i="11"/>
  <c r="AJ78" i="11"/>
  <c r="AJ97" i="11"/>
  <c r="AI96" i="11"/>
  <c r="AI72" i="11"/>
  <c r="AI84" i="11"/>
  <c r="AI63" i="11"/>
  <c r="AI85" i="11"/>
  <c r="AI99" i="11"/>
  <c r="AJ101" i="11"/>
  <c r="AJ107" i="11"/>
  <c r="AJ86" i="11"/>
  <c r="AI90" i="11"/>
  <c r="AI107" i="11"/>
  <c r="AG81" i="11"/>
  <c r="AJ67" i="11"/>
  <c r="AJ85" i="11"/>
  <c r="AJ74" i="11"/>
  <c r="AJ71" i="11"/>
  <c r="AJ70" i="11"/>
  <c r="AJ89" i="11"/>
  <c r="AI80" i="11"/>
  <c r="AI106" i="11"/>
  <c r="AI88" i="11"/>
  <c r="AI82" i="11"/>
  <c r="AI79" i="11"/>
  <c r="AI77" i="11"/>
  <c r="AI91" i="11"/>
  <c r="AI102" i="11"/>
  <c r="AI109" i="11"/>
  <c r="AJ66" i="11"/>
  <c r="AJ99" i="11"/>
  <c r="AJ62" i="11"/>
  <c r="AJ81" i="11"/>
  <c r="AI65" i="11"/>
  <c r="AI61" i="11"/>
  <c r="AI64" i="11"/>
  <c r="AI74" i="11"/>
  <c r="AI81" i="11"/>
  <c r="AI69" i="11"/>
  <c r="AI83" i="11"/>
  <c r="AI94" i="11"/>
  <c r="AJ82" i="11"/>
  <c r="AJ91" i="11"/>
  <c r="AJ88" i="11"/>
  <c r="AJ102" i="11"/>
  <c r="AI66" i="11"/>
  <c r="AI70" i="11"/>
  <c r="AJ69" i="11"/>
  <c r="AJ108" i="11"/>
  <c r="AJ92" i="11"/>
  <c r="AJ68" i="11"/>
  <c r="AJ104" i="11"/>
  <c r="AJ73" i="11"/>
  <c r="AI76" i="11"/>
  <c r="AI75" i="11"/>
  <c r="AI86" i="11"/>
  <c r="AH73" i="11"/>
  <c r="AH101" i="11"/>
  <c r="AJ103" i="11"/>
  <c r="AJ87" i="11"/>
  <c r="AJ63" i="11"/>
  <c r="AJ109" i="11"/>
  <c r="AJ96" i="11"/>
  <c r="AJ65" i="11"/>
  <c r="AI108" i="11"/>
  <c r="AI97" i="11"/>
  <c r="AI105" i="11"/>
  <c r="AI71" i="11"/>
  <c r="AI67" i="11"/>
  <c r="AI78" i="11"/>
  <c r="AH93" i="11"/>
  <c r="AH105" i="11"/>
  <c r="AH63" i="11"/>
  <c r="AH68" i="11"/>
  <c r="AH77" i="11"/>
  <c r="AH97" i="11"/>
  <c r="AH79" i="11"/>
  <c r="AH81" i="11"/>
  <c r="AH106" i="11"/>
  <c r="AH74" i="11"/>
  <c r="AH88" i="11"/>
  <c r="AH107" i="11"/>
  <c r="AH75" i="11"/>
  <c r="AH100" i="11"/>
  <c r="AH62" i="11"/>
  <c r="AH108" i="11"/>
  <c r="AH92" i="11"/>
  <c r="AH94" i="11"/>
  <c r="AH76" i="11"/>
  <c r="AH98" i="11"/>
  <c r="AH66" i="11"/>
  <c r="AH80" i="11"/>
  <c r="AH99" i="11"/>
  <c r="AH67" i="11"/>
  <c r="AH78" i="11"/>
  <c r="AH95" i="11"/>
  <c r="AH109" i="11"/>
  <c r="AH103" i="11"/>
  <c r="AH87" i="11"/>
  <c r="AH89" i="11"/>
  <c r="AH71" i="11"/>
  <c r="AH90" i="11"/>
  <c r="AH104" i="11"/>
  <c r="AH72" i="11"/>
  <c r="AH91" i="11"/>
  <c r="AH61" i="11"/>
  <c r="AH70" i="11"/>
  <c r="AH85" i="11"/>
  <c r="AH102" i="11"/>
  <c r="AH69" i="11"/>
  <c r="AH84" i="11"/>
  <c r="AH86" i="11"/>
  <c r="AH82" i="11"/>
  <c r="AH96" i="11"/>
  <c r="AH64" i="11"/>
  <c r="AH83" i="11"/>
  <c r="AG75" i="11"/>
  <c r="AG65" i="11"/>
  <c r="AG61" i="11"/>
  <c r="AG98" i="11"/>
  <c r="AG100" i="11"/>
  <c r="AG97" i="11"/>
  <c r="AG99" i="11"/>
  <c r="AG66" i="11"/>
  <c r="AG87" i="11"/>
  <c r="AG101" i="11"/>
  <c r="AG69" i="11"/>
  <c r="AG80" i="11"/>
  <c r="AG68" i="11"/>
  <c r="AG91" i="11"/>
  <c r="AG83" i="11"/>
  <c r="AG67" i="11"/>
  <c r="AG82" i="11"/>
  <c r="AG92" i="11"/>
  <c r="AG94" i="11"/>
  <c r="AG79" i="11"/>
  <c r="AG93" i="11"/>
  <c r="AG104" i="11"/>
  <c r="AG72" i="11"/>
  <c r="AG86" i="11"/>
  <c r="AG106" i="11"/>
  <c r="AG76" i="11"/>
  <c r="AG62" i="11"/>
  <c r="AG107" i="11"/>
  <c r="AG74" i="11"/>
  <c r="AG89" i="11"/>
  <c r="AG103" i="11"/>
  <c r="AG71" i="11"/>
  <c r="AG85" i="11"/>
  <c r="AG96" i="11"/>
  <c r="AG64" i="11"/>
  <c r="AG73" i="11"/>
  <c r="AG78" i="11"/>
  <c r="AG90" i="11"/>
  <c r="AG70" i="11"/>
  <c r="AG105" i="11"/>
  <c r="AG102" i="11"/>
  <c r="AG84" i="11"/>
  <c r="AG95" i="11"/>
  <c r="AG63" i="11"/>
  <c r="AG109" i="11"/>
  <c r="AG77" i="11"/>
  <c r="AG88" i="11"/>
  <c r="AF61" i="11"/>
  <c r="AF91" i="11"/>
  <c r="AF99" i="11"/>
  <c r="AF75" i="11"/>
  <c r="AF67" i="11"/>
  <c r="AF64" i="11"/>
  <c r="AF105" i="11"/>
  <c r="AF97" i="11"/>
  <c r="AF92" i="11"/>
  <c r="AF106" i="11"/>
  <c r="AF74" i="11"/>
  <c r="AF85" i="11"/>
  <c r="AF86" i="11"/>
  <c r="AF78" i="11"/>
  <c r="AF94" i="11"/>
  <c r="AF70" i="11"/>
  <c r="AF62" i="11"/>
  <c r="AF87" i="11"/>
  <c r="AF79" i="11"/>
  <c r="AF84" i="11"/>
  <c r="AF98" i="11"/>
  <c r="AF66" i="11"/>
  <c r="AF109" i="11"/>
  <c r="AF77" i="11"/>
  <c r="AF88" i="11"/>
  <c r="AF103" i="11"/>
  <c r="AF73" i="11"/>
  <c r="AF89" i="11"/>
  <c r="AF65" i="11"/>
  <c r="AF107" i="11"/>
  <c r="AF108" i="11"/>
  <c r="AF76" i="11"/>
  <c r="AF90" i="11"/>
  <c r="AF101" i="11"/>
  <c r="AF69" i="11"/>
  <c r="AF96" i="11"/>
  <c r="AF71" i="11"/>
  <c r="AF104" i="11"/>
  <c r="AF63" i="11"/>
  <c r="AF83" i="11"/>
  <c r="AF80" i="11"/>
  <c r="AF72" i="11"/>
  <c r="AF95" i="11"/>
  <c r="AF102" i="11"/>
  <c r="AF100" i="11"/>
  <c r="AF68" i="11"/>
  <c r="AF82" i="11"/>
  <c r="AF93" i="11"/>
  <c r="L34" i="30"/>
  <c r="L36" i="30"/>
  <c r="N10" i="30"/>
  <c r="M10" i="30"/>
  <c r="L28" i="30"/>
  <c r="L27" i="30"/>
  <c r="N26" i="30"/>
  <c r="M26" i="30"/>
  <c r="CP16" i="27" l="1"/>
  <c r="CQ16" i="27" s="1"/>
  <c r="CK17" i="27"/>
  <c r="CN16" i="27"/>
  <c r="CO16" i="27"/>
  <c r="AV15" i="27"/>
  <c r="AT15" i="27"/>
  <c r="AU15" i="27"/>
  <c r="AR15" i="27"/>
  <c r="AW15" i="27"/>
  <c r="AX15" i="27" s="1"/>
  <c r="AS15" i="27"/>
  <c r="M17" i="30"/>
  <c r="M11" i="30"/>
  <c r="O34" i="30"/>
  <c r="O35" i="30" s="1"/>
  <c r="Q34" i="30"/>
  <c r="Q35" i="30" s="1"/>
  <c r="R34" i="30"/>
  <c r="N34" i="30"/>
  <c r="N35" i="30" s="1"/>
  <c r="P34" i="30"/>
  <c r="P35" i="30" s="1"/>
  <c r="M34" i="30"/>
  <c r="M35" i="30" s="1"/>
  <c r="N14" i="30"/>
  <c r="N15" i="30"/>
  <c r="N16" i="30" s="1"/>
  <c r="O36" i="30"/>
  <c r="O37" i="30" s="1"/>
  <c r="N36" i="30"/>
  <c r="N37" i="30" s="1"/>
  <c r="M36" i="30"/>
  <c r="M37" i="30" s="1"/>
  <c r="R36" i="30"/>
  <c r="R37" i="30" s="1"/>
  <c r="Q36" i="30"/>
  <c r="Q37" i="30" s="1"/>
  <c r="P36" i="30"/>
  <c r="P37" i="30" s="1"/>
  <c r="N18" i="30"/>
  <c r="N21" i="30"/>
  <c r="N12" i="30"/>
  <c r="N13" i="30"/>
  <c r="M14" i="30"/>
  <c r="M18" i="30"/>
  <c r="M20" i="30"/>
  <c r="N22" i="30"/>
  <c r="N20" i="30"/>
  <c r="M19" i="30"/>
  <c r="M12" i="30"/>
  <c r="M21" i="30"/>
  <c r="M13" i="30"/>
  <c r="M22" i="30"/>
  <c r="M15" i="30"/>
  <c r="M16" i="30" s="1"/>
  <c r="N19" i="30"/>
  <c r="N11" i="30"/>
  <c r="N17" i="30"/>
  <c r="BO1" i="27"/>
  <c r="BM1" i="27"/>
  <c r="BP1" i="27" s="1"/>
  <c r="CP17" i="27" l="1"/>
  <c r="CQ17" i="27" s="1"/>
  <c r="CK18" i="27"/>
  <c r="CO17" i="27"/>
  <c r="CN17" i="27"/>
  <c r="AV16" i="27"/>
  <c r="AU16" i="27"/>
  <c r="AS16" i="27"/>
  <c r="AT16" i="27"/>
  <c r="AR16" i="27"/>
  <c r="AW16" i="27"/>
  <c r="AX16" i="27" s="1"/>
  <c r="BL3" i="27"/>
  <c r="BD3" i="27" s="1"/>
  <c r="BL5" i="27"/>
  <c r="BD5" i="27" s="1"/>
  <c r="BL7" i="27"/>
  <c r="BD7" i="27" s="1"/>
  <c r="BL9" i="27"/>
  <c r="BD9" i="27" s="1"/>
  <c r="BL11" i="27"/>
  <c r="BD11" i="27" s="1"/>
  <c r="BL13" i="27"/>
  <c r="BD13" i="27" s="1"/>
  <c r="BL15" i="27"/>
  <c r="BD15" i="27" s="1"/>
  <c r="BL17" i="27"/>
  <c r="BD17" i="27" s="1"/>
  <c r="BL19" i="27"/>
  <c r="BD19" i="27" s="1"/>
  <c r="BL21" i="27"/>
  <c r="BD21" i="27" s="1"/>
  <c r="BL23" i="27"/>
  <c r="BD23" i="27" s="1"/>
  <c r="BL25" i="27"/>
  <c r="BD25" i="27" s="1"/>
  <c r="BL27" i="27"/>
  <c r="BD27" i="27" s="1"/>
  <c r="BL29" i="27"/>
  <c r="BD29" i="27" s="1"/>
  <c r="BL31" i="27"/>
  <c r="BD31" i="27" s="1"/>
  <c r="BL33" i="27"/>
  <c r="BD33" i="27" s="1"/>
  <c r="BL35" i="27"/>
  <c r="BD35" i="27" s="1"/>
  <c r="BL37" i="27"/>
  <c r="BD37" i="27" s="1"/>
  <c r="BL39" i="27"/>
  <c r="BD39" i="27" s="1"/>
  <c r="BL41" i="27"/>
  <c r="BD41" i="27" s="1"/>
  <c r="BL2" i="27"/>
  <c r="BD2" i="27" s="1"/>
  <c r="BL4" i="27"/>
  <c r="BD4" i="27" s="1"/>
  <c r="BL6" i="27"/>
  <c r="BD6" i="27" s="1"/>
  <c r="BL8" i="27"/>
  <c r="BD8" i="27" s="1"/>
  <c r="BL10" i="27"/>
  <c r="BD10" i="27" s="1"/>
  <c r="BL12" i="27"/>
  <c r="BD12" i="27" s="1"/>
  <c r="BL14" i="27"/>
  <c r="BD14" i="27" s="1"/>
  <c r="BL16" i="27"/>
  <c r="BD16" i="27" s="1"/>
  <c r="BL18" i="27"/>
  <c r="BD18" i="27" s="1"/>
  <c r="BL20" i="27"/>
  <c r="BD20" i="27" s="1"/>
  <c r="BL22" i="27"/>
  <c r="BD22" i="27" s="1"/>
  <c r="BL24" i="27"/>
  <c r="BD24" i="27" s="1"/>
  <c r="BL26" i="27"/>
  <c r="BD26" i="27" s="1"/>
  <c r="BL28" i="27"/>
  <c r="BD28" i="27" s="1"/>
  <c r="BL30" i="27"/>
  <c r="BD30" i="27" s="1"/>
  <c r="BL32" i="27"/>
  <c r="BD32" i="27" s="1"/>
  <c r="BL34" i="27"/>
  <c r="BD34" i="27" s="1"/>
  <c r="BL36" i="27"/>
  <c r="BD36" i="27" s="1"/>
  <c r="BL38" i="27"/>
  <c r="BD38" i="27" s="1"/>
  <c r="BL40" i="27"/>
  <c r="BD40" i="27" s="1"/>
  <c r="BL44" i="27"/>
  <c r="BD44" i="27" s="1"/>
  <c r="BL49" i="27"/>
  <c r="BD49" i="27" s="1"/>
  <c r="BL54" i="27"/>
  <c r="BD54" i="27" s="1"/>
  <c r="BL58" i="27"/>
  <c r="BD58" i="27" s="1"/>
  <c r="BL62" i="27"/>
  <c r="BL66" i="27"/>
  <c r="BL70" i="27"/>
  <c r="BL74" i="27"/>
  <c r="BL78" i="27"/>
  <c r="BL82" i="27"/>
  <c r="BL105" i="27"/>
  <c r="BL50" i="27"/>
  <c r="BD50" i="27" s="1"/>
  <c r="BL85" i="27"/>
  <c r="BL87" i="27"/>
  <c r="BL89" i="27"/>
  <c r="BL91" i="27"/>
  <c r="BL93" i="27"/>
  <c r="BL95" i="27"/>
  <c r="BL97" i="27"/>
  <c r="BL99" i="27"/>
  <c r="BL101" i="27"/>
  <c r="BL103" i="27"/>
  <c r="BL107" i="27"/>
  <c r="BL109" i="27"/>
  <c r="BL45" i="27"/>
  <c r="BD45" i="27" s="1"/>
  <c r="BL55" i="27"/>
  <c r="BD55" i="27" s="1"/>
  <c r="BL59" i="27"/>
  <c r="BD59" i="27" s="1"/>
  <c r="BL63" i="27"/>
  <c r="BL67" i="27"/>
  <c r="BL71" i="27"/>
  <c r="BL75" i="27"/>
  <c r="BL79" i="27"/>
  <c r="BL83" i="27"/>
  <c r="BL43" i="27"/>
  <c r="BD43" i="27" s="1"/>
  <c r="BL46" i="27"/>
  <c r="BD46" i="27" s="1"/>
  <c r="BL51" i="27"/>
  <c r="BD51" i="27" s="1"/>
  <c r="BL52" i="27"/>
  <c r="BD52" i="27" s="1"/>
  <c r="BL56" i="27"/>
  <c r="BD56" i="27" s="1"/>
  <c r="BL60" i="27"/>
  <c r="BD60" i="27" s="1"/>
  <c r="BL64" i="27"/>
  <c r="BL68" i="27"/>
  <c r="BL72" i="27"/>
  <c r="BL76" i="27"/>
  <c r="BL80" i="27"/>
  <c r="BL106" i="27"/>
  <c r="BL42" i="27"/>
  <c r="BD42" i="27" s="1"/>
  <c r="BL47" i="27"/>
  <c r="BD47" i="27" s="1"/>
  <c r="BL84" i="27"/>
  <c r="BL86" i="27"/>
  <c r="BL88" i="27"/>
  <c r="BL90" i="27"/>
  <c r="BL92" i="27"/>
  <c r="BL94" i="27"/>
  <c r="BL96" i="27"/>
  <c r="BL98" i="27"/>
  <c r="BL100" i="27"/>
  <c r="BL102" i="27"/>
  <c r="BL104" i="27"/>
  <c r="BL108" i="27"/>
  <c r="BL48" i="27"/>
  <c r="BD48" i="27" s="1"/>
  <c r="BL53" i="27"/>
  <c r="BD53" i="27" s="1"/>
  <c r="BL57" i="27"/>
  <c r="BD57" i="27" s="1"/>
  <c r="BL61" i="27"/>
  <c r="BD61" i="27" s="1"/>
  <c r="BL65" i="27"/>
  <c r="BL69" i="27"/>
  <c r="BL73" i="27"/>
  <c r="BL77" i="27"/>
  <c r="BL81" i="27"/>
  <c r="BP62" i="27"/>
  <c r="BP74" i="27"/>
  <c r="BP106" i="27"/>
  <c r="BP105" i="27"/>
  <c r="BP89" i="27"/>
  <c r="BP73" i="27"/>
  <c r="BP70" i="27"/>
  <c r="BP108" i="27"/>
  <c r="BP92" i="27"/>
  <c r="BP72" i="27"/>
  <c r="BP99" i="27"/>
  <c r="BP83" i="27"/>
  <c r="BP67" i="27"/>
  <c r="BP94" i="27"/>
  <c r="BO86" i="27"/>
  <c r="BO93" i="27"/>
  <c r="BO91" i="27"/>
  <c r="BO62" i="27"/>
  <c r="BO106" i="27"/>
  <c r="BO74" i="27"/>
  <c r="BO105" i="27"/>
  <c r="BO73" i="27"/>
  <c r="BO88" i="27"/>
  <c r="BO103" i="27"/>
  <c r="BO71" i="27"/>
  <c r="BP86" i="27"/>
  <c r="BP101" i="27"/>
  <c r="BP85" i="27"/>
  <c r="BP65" i="27"/>
  <c r="BP109" i="27"/>
  <c r="BP98" i="27"/>
  <c r="BP104" i="27"/>
  <c r="BP88" i="27"/>
  <c r="BP68" i="27"/>
  <c r="BP95" i="27"/>
  <c r="BP79" i="27"/>
  <c r="BP63" i="27"/>
  <c r="BP66" i="27"/>
  <c r="BO78" i="27"/>
  <c r="BO85" i="27"/>
  <c r="BO108" i="27"/>
  <c r="BO83" i="27"/>
  <c r="BO98" i="27"/>
  <c r="BO66" i="27"/>
  <c r="BO97" i="27"/>
  <c r="BO65" i="27"/>
  <c r="BO92" i="27"/>
  <c r="BO80" i="27"/>
  <c r="BO95" i="27"/>
  <c r="BO63" i="27"/>
  <c r="BP97" i="27"/>
  <c r="BP81" i="27"/>
  <c r="BP69" i="27"/>
  <c r="BP90" i="27"/>
  <c r="BP100" i="27"/>
  <c r="BP84" i="27"/>
  <c r="BP64" i="27"/>
  <c r="BP78" i="27"/>
  <c r="BP102" i="27"/>
  <c r="BP107" i="27"/>
  <c r="BP91" i="27"/>
  <c r="BP75" i="27"/>
  <c r="BO102" i="27"/>
  <c r="BO70" i="27"/>
  <c r="BO109" i="27"/>
  <c r="BO77" i="27"/>
  <c r="BO84" i="27"/>
  <c r="BO107" i="27"/>
  <c r="BO75" i="27"/>
  <c r="BO100" i="27"/>
  <c r="BO90" i="27"/>
  <c r="BO89" i="27"/>
  <c r="BO104" i="27"/>
  <c r="BO72" i="27"/>
  <c r="BO87" i="27"/>
  <c r="BP93" i="27"/>
  <c r="BP77" i="27"/>
  <c r="BP96" i="27"/>
  <c r="BP76" i="27"/>
  <c r="BP80" i="27"/>
  <c r="BP82" i="27"/>
  <c r="BP103" i="27"/>
  <c r="BP87" i="27"/>
  <c r="BP71" i="27"/>
  <c r="BO94" i="27"/>
  <c r="BO101" i="27"/>
  <c r="BO69" i="27"/>
  <c r="BO99" i="27"/>
  <c r="BO67" i="27"/>
  <c r="BO68" i="27"/>
  <c r="BO82" i="27"/>
  <c r="BO76" i="27"/>
  <c r="BO81" i="27"/>
  <c r="BO96" i="27"/>
  <c r="BO64" i="27"/>
  <c r="BO79" i="27"/>
  <c r="R35" i="30"/>
  <c r="M28" i="30"/>
  <c r="BM92" i="27"/>
  <c r="BE92" i="27" s="1"/>
  <c r="BM100" i="27"/>
  <c r="BE100" i="27" s="1"/>
  <c r="BM108" i="27"/>
  <c r="BE108" i="27" s="1"/>
  <c r="BM87" i="27"/>
  <c r="BM95" i="27"/>
  <c r="BE95" i="27" s="1"/>
  <c r="BM103" i="27"/>
  <c r="BE103" i="27" s="1"/>
  <c r="BM90" i="27"/>
  <c r="BE90" i="27" s="1"/>
  <c r="BM98" i="27"/>
  <c r="BE98" i="27" s="1"/>
  <c r="BM106" i="27"/>
  <c r="BE106" i="27" s="1"/>
  <c r="BM93" i="27"/>
  <c r="BE93" i="27" s="1"/>
  <c r="BM101" i="27"/>
  <c r="BE101" i="27" s="1"/>
  <c r="BM109" i="27"/>
  <c r="BE109" i="27" s="1"/>
  <c r="BM88" i="27"/>
  <c r="BE88" i="27" s="1"/>
  <c r="BM96" i="27"/>
  <c r="BE96" i="27" s="1"/>
  <c r="BM104" i="27"/>
  <c r="BE104" i="27" s="1"/>
  <c r="BM91" i="27"/>
  <c r="BE91" i="27" s="1"/>
  <c r="BM99" i="27"/>
  <c r="BE99" i="27" s="1"/>
  <c r="BM107" i="27"/>
  <c r="BE107" i="27" s="1"/>
  <c r="BM86" i="27"/>
  <c r="BE86" i="27" s="1"/>
  <c r="BM94" i="27"/>
  <c r="BE94" i="27" s="1"/>
  <c r="BM102" i="27"/>
  <c r="BE102" i="27" s="1"/>
  <c r="BM89" i="27"/>
  <c r="BE89" i="27" s="1"/>
  <c r="BM97" i="27"/>
  <c r="BM105" i="27"/>
  <c r="BE105" i="27" s="1"/>
  <c r="BM3" i="27"/>
  <c r="BE3" i="27" s="1"/>
  <c r="BM7" i="27"/>
  <c r="BE7" i="27" s="1"/>
  <c r="BM11" i="27"/>
  <c r="BE11" i="27" s="1"/>
  <c r="BM15" i="27"/>
  <c r="BE15" i="27" s="1"/>
  <c r="BM19" i="27"/>
  <c r="BE19" i="27" s="1"/>
  <c r="BM23" i="27"/>
  <c r="BE23" i="27" s="1"/>
  <c r="BM27" i="27"/>
  <c r="BE27" i="27" s="1"/>
  <c r="BM31" i="27"/>
  <c r="BE31" i="27" s="1"/>
  <c r="BM35" i="27"/>
  <c r="BE35" i="27" s="1"/>
  <c r="BM39" i="27"/>
  <c r="BE39" i="27" s="1"/>
  <c r="BM43" i="27"/>
  <c r="BE43" i="27" s="1"/>
  <c r="BM47" i="27"/>
  <c r="BE47" i="27" s="1"/>
  <c r="BM51" i="27"/>
  <c r="BE51" i="27" s="1"/>
  <c r="BM55" i="27"/>
  <c r="BE55" i="27" s="1"/>
  <c r="BM59" i="27"/>
  <c r="BE59" i="27" s="1"/>
  <c r="BM63" i="27"/>
  <c r="BE63" i="27" s="1"/>
  <c r="BM67" i="27"/>
  <c r="BE67" i="27" s="1"/>
  <c r="BM71" i="27"/>
  <c r="BE71" i="27" s="1"/>
  <c r="BM75" i="27"/>
  <c r="BE75" i="27" s="1"/>
  <c r="BM79" i="27"/>
  <c r="BE79" i="27" s="1"/>
  <c r="BM83" i="27"/>
  <c r="BE83" i="27" s="1"/>
  <c r="BM4" i="27"/>
  <c r="BE4" i="27" s="1"/>
  <c r="BM8" i="27"/>
  <c r="BE8" i="27" s="1"/>
  <c r="BM12" i="27"/>
  <c r="BE12" i="27" s="1"/>
  <c r="BM16" i="27"/>
  <c r="BE16" i="27" s="1"/>
  <c r="BM20" i="27"/>
  <c r="BE20" i="27" s="1"/>
  <c r="BM24" i="27"/>
  <c r="BE24" i="27" s="1"/>
  <c r="BM28" i="27"/>
  <c r="BE28" i="27" s="1"/>
  <c r="BM32" i="27"/>
  <c r="BE32" i="27" s="1"/>
  <c r="BM36" i="27"/>
  <c r="BE36" i="27" s="1"/>
  <c r="BM40" i="27"/>
  <c r="BE40" i="27" s="1"/>
  <c r="BM44" i="27"/>
  <c r="BE44" i="27" s="1"/>
  <c r="BM48" i="27"/>
  <c r="BE48" i="27" s="1"/>
  <c r="BM52" i="27"/>
  <c r="BE52" i="27" s="1"/>
  <c r="BM56" i="27"/>
  <c r="BE56" i="27" s="1"/>
  <c r="BM60" i="27"/>
  <c r="BE60" i="27" s="1"/>
  <c r="BM64" i="27"/>
  <c r="BE64" i="27" s="1"/>
  <c r="BM68" i="27"/>
  <c r="BE68" i="27" s="1"/>
  <c r="BM72" i="27"/>
  <c r="BE72" i="27" s="1"/>
  <c r="BM76" i="27"/>
  <c r="BM80" i="27"/>
  <c r="BE80" i="27" s="1"/>
  <c r="BM84" i="27"/>
  <c r="BE84" i="27" s="1"/>
  <c r="BM5" i="27"/>
  <c r="BE5" i="27" s="1"/>
  <c r="BM9" i="27"/>
  <c r="BE9" i="27" s="1"/>
  <c r="BM13" i="27"/>
  <c r="BE13" i="27" s="1"/>
  <c r="BM17" i="27"/>
  <c r="BE17" i="27" s="1"/>
  <c r="BM21" i="27"/>
  <c r="BE21" i="27" s="1"/>
  <c r="BM25" i="27"/>
  <c r="BE25" i="27" s="1"/>
  <c r="BM29" i="27"/>
  <c r="BE29" i="27" s="1"/>
  <c r="BM33" i="27"/>
  <c r="BE33" i="27" s="1"/>
  <c r="BM37" i="27"/>
  <c r="BE37" i="27" s="1"/>
  <c r="BM41" i="27"/>
  <c r="BE41" i="27" s="1"/>
  <c r="BM45" i="27"/>
  <c r="BE45" i="27" s="1"/>
  <c r="BM49" i="27"/>
  <c r="BE49" i="27" s="1"/>
  <c r="BM53" i="27"/>
  <c r="BE53" i="27" s="1"/>
  <c r="BM57" i="27"/>
  <c r="BE57" i="27" s="1"/>
  <c r="BM61" i="27"/>
  <c r="BE61" i="27" s="1"/>
  <c r="BM65" i="27"/>
  <c r="BE65" i="27" s="1"/>
  <c r="BM69" i="27"/>
  <c r="BE69" i="27" s="1"/>
  <c r="BM73" i="27"/>
  <c r="BE73" i="27" s="1"/>
  <c r="BM77" i="27"/>
  <c r="BE77" i="27" s="1"/>
  <c r="BM81" i="27"/>
  <c r="BE81" i="27" s="1"/>
  <c r="BM85" i="27"/>
  <c r="BE85" i="27" s="1"/>
  <c r="BM6" i="27"/>
  <c r="BE6" i="27" s="1"/>
  <c r="BM10" i="27"/>
  <c r="BE10" i="27" s="1"/>
  <c r="BM14" i="27"/>
  <c r="BE14" i="27" s="1"/>
  <c r="BM18" i="27"/>
  <c r="BE18" i="27" s="1"/>
  <c r="BM22" i="27"/>
  <c r="BE22" i="27" s="1"/>
  <c r="BM26" i="27"/>
  <c r="BE26" i="27" s="1"/>
  <c r="BM30" i="27"/>
  <c r="BE30" i="27" s="1"/>
  <c r="BM34" i="27"/>
  <c r="BE34" i="27" s="1"/>
  <c r="BM38" i="27"/>
  <c r="BE38" i="27" s="1"/>
  <c r="BM42" i="27"/>
  <c r="BE42" i="27" s="1"/>
  <c r="BM46" i="27"/>
  <c r="BE46" i="27" s="1"/>
  <c r="BM50" i="27"/>
  <c r="BE50" i="27" s="1"/>
  <c r="BM54" i="27"/>
  <c r="BE54" i="27" s="1"/>
  <c r="BM58" i="27"/>
  <c r="BE58" i="27" s="1"/>
  <c r="BM62" i="27"/>
  <c r="BE62" i="27" s="1"/>
  <c r="BM66" i="27"/>
  <c r="BE66" i="27" s="1"/>
  <c r="BM70" i="27"/>
  <c r="BE70" i="27" s="1"/>
  <c r="BM74" i="27"/>
  <c r="BE74" i="27" s="1"/>
  <c r="BM78" i="27"/>
  <c r="BE78" i="27" s="1"/>
  <c r="BM82" i="27"/>
  <c r="BM2" i="27"/>
  <c r="BE2" i="27" s="1"/>
  <c r="CM4" i="11"/>
  <c r="CM5" i="11"/>
  <c r="CM6" i="11"/>
  <c r="CM7" i="11"/>
  <c r="CM8" i="11"/>
  <c r="CM9" i="11"/>
  <c r="CM10" i="11"/>
  <c r="CM11" i="11"/>
  <c r="CM12" i="11"/>
  <c r="CM13" i="11"/>
  <c r="CM14" i="11"/>
  <c r="CM15" i="11"/>
  <c r="CM16" i="11"/>
  <c r="CM17" i="11"/>
  <c r="CM18" i="11"/>
  <c r="CM19" i="11"/>
  <c r="CM20" i="11"/>
  <c r="CM21" i="11"/>
  <c r="CM22" i="11"/>
  <c r="CM23" i="11"/>
  <c r="CM24" i="11"/>
  <c r="CM25" i="11"/>
  <c r="CM26" i="11"/>
  <c r="CM27" i="11"/>
  <c r="CM28" i="11"/>
  <c r="CM29" i="11"/>
  <c r="CM30" i="11"/>
  <c r="CM31" i="11"/>
  <c r="CM32" i="11"/>
  <c r="CM33" i="11"/>
  <c r="CM34" i="11"/>
  <c r="CM35" i="11"/>
  <c r="CM36" i="11"/>
  <c r="CM37" i="11"/>
  <c r="CM38" i="11"/>
  <c r="CM39" i="11"/>
  <c r="CM40" i="11"/>
  <c r="CM41" i="11"/>
  <c r="CM42" i="11"/>
  <c r="CM43" i="11"/>
  <c r="CM44" i="11"/>
  <c r="CM45" i="11"/>
  <c r="CM46" i="11"/>
  <c r="CM47" i="11"/>
  <c r="CM48" i="11"/>
  <c r="CM49" i="11"/>
  <c r="CM50" i="11"/>
  <c r="CM51" i="11"/>
  <c r="CM52" i="11"/>
  <c r="CM53" i="11"/>
  <c r="CM54" i="11"/>
  <c r="CM55" i="11"/>
  <c r="CM56" i="11"/>
  <c r="CM57" i="11"/>
  <c r="CM58" i="11"/>
  <c r="CM59" i="11"/>
  <c r="CM60" i="11"/>
  <c r="CM61" i="11"/>
  <c r="CM62" i="11"/>
  <c r="CM63" i="11"/>
  <c r="CM64" i="11"/>
  <c r="CM65" i="11"/>
  <c r="CM66" i="11"/>
  <c r="CM67" i="11"/>
  <c r="CM68" i="11"/>
  <c r="CM69" i="11"/>
  <c r="CM70" i="11"/>
  <c r="CM71" i="11"/>
  <c r="CM72" i="11"/>
  <c r="CM73" i="11"/>
  <c r="CM74" i="11"/>
  <c r="CM75" i="11"/>
  <c r="CM76" i="11"/>
  <c r="CM77" i="11"/>
  <c r="CM78" i="11"/>
  <c r="CM79" i="11"/>
  <c r="CM80" i="11"/>
  <c r="CM81" i="11"/>
  <c r="CM82" i="11"/>
  <c r="CM83" i="11"/>
  <c r="CM84" i="11"/>
  <c r="CM85" i="11"/>
  <c r="CM86" i="11"/>
  <c r="CM87" i="11"/>
  <c r="CM88" i="11"/>
  <c r="CM89" i="11"/>
  <c r="CM90" i="11"/>
  <c r="CM91" i="11"/>
  <c r="CM3" i="11"/>
  <c r="CJ4" i="11"/>
  <c r="CJ5" i="11"/>
  <c r="CJ6" i="11"/>
  <c r="CJ7" i="11"/>
  <c r="CJ8" i="11"/>
  <c r="CJ9" i="11"/>
  <c r="CJ10" i="11"/>
  <c r="CJ11" i="11"/>
  <c r="CJ12" i="11"/>
  <c r="CJ13" i="11"/>
  <c r="CJ14" i="11"/>
  <c r="CJ15" i="11"/>
  <c r="CJ16" i="11"/>
  <c r="CJ17" i="11"/>
  <c r="CJ18" i="11"/>
  <c r="CJ19" i="11"/>
  <c r="CJ20" i="11"/>
  <c r="CJ21" i="11"/>
  <c r="CJ22" i="11"/>
  <c r="CJ23" i="11"/>
  <c r="CJ24" i="11"/>
  <c r="CJ25" i="11"/>
  <c r="CJ26" i="11"/>
  <c r="CJ27" i="11"/>
  <c r="CJ28" i="11"/>
  <c r="CJ29" i="11"/>
  <c r="CJ30" i="11"/>
  <c r="CJ31" i="11"/>
  <c r="CJ32" i="11"/>
  <c r="CJ33" i="11"/>
  <c r="CJ34" i="11"/>
  <c r="CJ35" i="11"/>
  <c r="CJ36" i="11"/>
  <c r="CJ37" i="11"/>
  <c r="CJ38" i="11"/>
  <c r="CJ39" i="11"/>
  <c r="CJ40" i="11"/>
  <c r="CJ41" i="11"/>
  <c r="CJ42" i="11"/>
  <c r="CJ43" i="11"/>
  <c r="CJ44" i="11"/>
  <c r="CJ45" i="11"/>
  <c r="CJ46" i="11"/>
  <c r="CJ47" i="11"/>
  <c r="CJ48" i="11"/>
  <c r="CJ49" i="11"/>
  <c r="CJ50" i="11"/>
  <c r="CJ51" i="11"/>
  <c r="CJ52" i="11"/>
  <c r="CJ53" i="11"/>
  <c r="CJ54" i="11"/>
  <c r="CJ55" i="11"/>
  <c r="CJ56" i="11"/>
  <c r="CJ57" i="11"/>
  <c r="CJ58" i="11"/>
  <c r="CJ59" i="11"/>
  <c r="CJ60" i="11"/>
  <c r="CJ61" i="11"/>
  <c r="CJ62" i="11"/>
  <c r="CJ63" i="11"/>
  <c r="CJ64" i="11"/>
  <c r="CJ65" i="11"/>
  <c r="CJ66" i="11"/>
  <c r="CJ67" i="11"/>
  <c r="CJ68" i="11"/>
  <c r="CJ69" i="11"/>
  <c r="CJ70" i="11"/>
  <c r="CJ71" i="11"/>
  <c r="CJ72" i="11"/>
  <c r="CJ73" i="11"/>
  <c r="CJ74" i="11"/>
  <c r="CJ75" i="11"/>
  <c r="CJ76" i="11"/>
  <c r="CJ77" i="11"/>
  <c r="CJ78" i="11"/>
  <c r="CJ79" i="11"/>
  <c r="CJ80" i="11"/>
  <c r="CJ81" i="11"/>
  <c r="CJ82" i="11"/>
  <c r="CJ83" i="11"/>
  <c r="CJ84" i="11"/>
  <c r="CJ85" i="11"/>
  <c r="CJ86" i="11"/>
  <c r="CJ87" i="11"/>
  <c r="CJ3" i="11"/>
  <c r="CF14" i="11"/>
  <c r="CE14" i="11"/>
  <c r="CD14" i="11"/>
  <c r="CC14" i="11"/>
  <c r="CB14" i="11"/>
  <c r="CA14" i="11"/>
  <c r="BZ14" i="11"/>
  <c r="BY14" i="11"/>
  <c r="BX14" i="11"/>
  <c r="BW14" i="11"/>
  <c r="BV14" i="11"/>
  <c r="CF12" i="11"/>
  <c r="CE12" i="11"/>
  <c r="CD12" i="11"/>
  <c r="CC12" i="11"/>
  <c r="CB12" i="11"/>
  <c r="CA12" i="11"/>
  <c r="BZ12" i="11"/>
  <c r="BY12" i="11"/>
  <c r="BX12" i="11"/>
  <c r="BW12" i="11"/>
  <c r="BV12" i="11"/>
  <c r="CF10" i="11"/>
  <c r="CF13" i="11" s="1"/>
  <c r="CE10" i="11"/>
  <c r="CE11" i="11" s="1"/>
  <c r="CD10" i="11"/>
  <c r="CD11" i="11" s="1"/>
  <c r="CC10" i="11"/>
  <c r="CC11" i="11" s="1"/>
  <c r="CB10" i="11"/>
  <c r="CB11" i="11" s="1"/>
  <c r="CA10" i="11"/>
  <c r="CA13" i="11" s="1"/>
  <c r="BZ10" i="11"/>
  <c r="BZ11" i="11" s="1"/>
  <c r="BY10" i="11"/>
  <c r="BY13" i="11" s="1"/>
  <c r="BX10" i="11"/>
  <c r="BX13" i="11" s="1"/>
  <c r="BW10" i="11"/>
  <c r="BW11" i="11" s="1"/>
  <c r="BV10" i="11"/>
  <c r="BV11" i="11" s="1"/>
  <c r="BE76" i="27" l="1"/>
  <c r="BD96" i="27"/>
  <c r="BD71" i="27"/>
  <c r="BD103" i="27"/>
  <c r="BD87" i="27"/>
  <c r="BD66" i="27"/>
  <c r="BE97" i="27"/>
  <c r="BD94" i="27"/>
  <c r="BD106" i="27"/>
  <c r="BD67" i="27"/>
  <c r="BD101" i="27"/>
  <c r="BD85" i="27"/>
  <c r="BD62" i="27"/>
  <c r="BD81" i="27"/>
  <c r="BD92" i="27"/>
  <c r="BD80" i="27"/>
  <c r="BD63" i="27"/>
  <c r="BD99" i="27"/>
  <c r="BD77" i="27"/>
  <c r="BD108" i="27"/>
  <c r="BD90" i="27"/>
  <c r="BD76" i="27"/>
  <c r="BD97" i="27"/>
  <c r="BD105" i="27"/>
  <c r="BE87" i="27"/>
  <c r="BD73" i="27"/>
  <c r="BD104" i="27"/>
  <c r="BD88" i="27"/>
  <c r="BD72" i="27"/>
  <c r="BD95" i="27"/>
  <c r="BD82" i="27"/>
  <c r="BE82" i="27"/>
  <c r="BD69" i="27"/>
  <c r="BD102" i="27"/>
  <c r="BD86" i="27"/>
  <c r="BD68" i="27"/>
  <c r="BD83" i="27"/>
  <c r="BD93" i="27"/>
  <c r="BD78" i="27"/>
  <c r="BD65" i="27"/>
  <c r="BD100" i="27"/>
  <c r="BD84" i="27"/>
  <c r="BD64" i="27"/>
  <c r="BD79" i="27"/>
  <c r="BD109" i="27"/>
  <c r="BD91" i="27"/>
  <c r="BD74" i="27"/>
  <c r="BD98" i="27"/>
  <c r="BD75" i="27"/>
  <c r="BD107" i="27"/>
  <c r="BD89" i="27"/>
  <c r="BD70" i="27"/>
  <c r="CP18" i="27"/>
  <c r="CQ18" i="27" s="1"/>
  <c r="CN18" i="27"/>
  <c r="CO18" i="27"/>
  <c r="CK19" i="27"/>
  <c r="AV17" i="27"/>
  <c r="AT17" i="27"/>
  <c r="AS17" i="27"/>
  <c r="AW17" i="27"/>
  <c r="AX17" i="27" s="1"/>
  <c r="AR17" i="27"/>
  <c r="AU17" i="27"/>
  <c r="CF11" i="11"/>
  <c r="BZ13" i="11"/>
  <c r="BV13" i="11"/>
  <c r="BX11" i="11"/>
  <c r="BY11" i="11"/>
  <c r="CD13" i="11"/>
  <c r="CB13" i="11"/>
  <c r="CA11" i="11"/>
  <c r="CC13" i="11"/>
  <c r="BW13" i="11"/>
  <c r="CE13" i="11"/>
  <c r="CP19" i="27" l="1"/>
  <c r="CQ19" i="27" s="1"/>
  <c r="CN19" i="27"/>
  <c r="CO19" i="27"/>
  <c r="CK20" i="27"/>
  <c r="AS18" i="27"/>
  <c r="AV18" i="27"/>
  <c r="AU18" i="27"/>
  <c r="AT18" i="27"/>
  <c r="AW18" i="27"/>
  <c r="AX18" i="27" s="1"/>
  <c r="AR18" i="27"/>
  <c r="L34" i="14"/>
  <c r="M25" i="14"/>
  <c r="N25" i="14"/>
  <c r="O25" i="14"/>
  <c r="P25" i="14"/>
  <c r="Q25" i="14"/>
  <c r="L26" i="14"/>
  <c r="L27" i="14"/>
  <c r="L28" i="14"/>
  <c r="L29" i="14"/>
  <c r="L30" i="14"/>
  <c r="CP20" i="27" l="1"/>
  <c r="CQ20" i="27" s="1"/>
  <c r="CK21" i="27"/>
  <c r="CN20" i="27"/>
  <c r="CO20" i="27"/>
  <c r="AV19" i="27"/>
  <c r="AU19" i="27"/>
  <c r="AR19" i="27"/>
  <c r="AW19" i="27"/>
  <c r="AX19" i="27" s="1"/>
  <c r="AS19" i="27"/>
  <c r="AT19" i="27"/>
  <c r="X100" i="27"/>
  <c r="X106" i="27"/>
  <c r="X26" i="27"/>
  <c r="X93" i="27"/>
  <c r="X29" i="27"/>
  <c r="X56" i="27"/>
  <c r="X99" i="27"/>
  <c r="X35" i="27"/>
  <c r="X78" i="27"/>
  <c r="X14" i="27"/>
  <c r="X33" i="27"/>
  <c r="X52" i="27"/>
  <c r="X79" i="27"/>
  <c r="X15" i="27"/>
  <c r="X82" i="27"/>
  <c r="X92" i="27"/>
  <c r="X105" i="27"/>
  <c r="X13" i="27"/>
  <c r="X40" i="27"/>
  <c r="X83" i="27"/>
  <c r="X19" i="27"/>
  <c r="X81" i="27"/>
  <c r="X17" i="27"/>
  <c r="X63" i="27"/>
  <c r="X96" i="27"/>
  <c r="X53" i="27"/>
  <c r="X16" i="27"/>
  <c r="X102" i="27"/>
  <c r="X76" i="27"/>
  <c r="X95" i="27"/>
  <c r="X45" i="27"/>
  <c r="X8" i="27"/>
  <c r="X30" i="27"/>
  <c r="X68" i="27"/>
  <c r="X34" i="27"/>
  <c r="X37" i="27"/>
  <c r="X43" i="27"/>
  <c r="X41" i="27"/>
  <c r="X87" i="27"/>
  <c r="X2" i="27"/>
  <c r="X50" i="27"/>
  <c r="X18" i="27"/>
  <c r="X85" i="27"/>
  <c r="X21" i="27"/>
  <c r="X48" i="27"/>
  <c r="X91" i="27"/>
  <c r="X27" i="27"/>
  <c r="X70" i="27"/>
  <c r="X6" i="27"/>
  <c r="X25" i="27"/>
  <c r="X44" i="27"/>
  <c r="X71" i="27"/>
  <c r="X77" i="27"/>
  <c r="X62" i="27"/>
  <c r="X36" i="27"/>
  <c r="X7" i="27"/>
  <c r="X57" i="27"/>
  <c r="X109" i="27"/>
  <c r="X94" i="27"/>
  <c r="X4" i="27"/>
  <c r="X58" i="27"/>
  <c r="X64" i="27"/>
  <c r="X22" i="27"/>
  <c r="X66" i="27"/>
  <c r="X42" i="27"/>
  <c r="X98" i="27"/>
  <c r="X69" i="27"/>
  <c r="X5" i="27"/>
  <c r="X32" i="27"/>
  <c r="X75" i="27"/>
  <c r="X11" i="27"/>
  <c r="X54" i="27"/>
  <c r="X73" i="27"/>
  <c r="X9" i="27"/>
  <c r="X28" i="27"/>
  <c r="X55" i="27"/>
  <c r="X103" i="27"/>
  <c r="X104" i="27"/>
  <c r="X74" i="27"/>
  <c r="X61" i="27"/>
  <c r="X88" i="27"/>
  <c r="X24" i="27"/>
  <c r="X67" i="27"/>
  <c r="X3" i="27"/>
  <c r="X46" i="27"/>
  <c r="X65" i="27"/>
  <c r="X84" i="27"/>
  <c r="X20" i="27"/>
  <c r="X47" i="27"/>
  <c r="X97" i="27"/>
  <c r="X10" i="27"/>
  <c r="X80" i="27"/>
  <c r="X59" i="27"/>
  <c r="X38" i="27"/>
  <c r="X12" i="27"/>
  <c r="X39" i="27"/>
  <c r="X89" i="27"/>
  <c r="X90" i="27"/>
  <c r="X72" i="27"/>
  <c r="X51" i="27"/>
  <c r="X49" i="27"/>
  <c r="X31" i="27"/>
  <c r="X108" i="27"/>
  <c r="X101" i="27"/>
  <c r="X107" i="27"/>
  <c r="X86" i="27"/>
  <c r="X60" i="27"/>
  <c r="X23" i="27"/>
  <c r="U3" i="27"/>
  <c r="U11" i="27"/>
  <c r="U19" i="27"/>
  <c r="U27" i="27"/>
  <c r="U35" i="27"/>
  <c r="U43" i="27"/>
  <c r="U51" i="27"/>
  <c r="U59" i="27"/>
  <c r="U67" i="27"/>
  <c r="U75" i="27"/>
  <c r="U4" i="27"/>
  <c r="U12" i="27"/>
  <c r="U20" i="27"/>
  <c r="U28" i="27"/>
  <c r="U36" i="27"/>
  <c r="U44" i="27"/>
  <c r="U52" i="27"/>
  <c r="U60" i="27"/>
  <c r="U68" i="27"/>
  <c r="U76" i="27"/>
  <c r="U84" i="27"/>
  <c r="U92" i="27"/>
  <c r="U100" i="27"/>
  <c r="U108" i="27"/>
  <c r="U5" i="27"/>
  <c r="U13" i="27"/>
  <c r="U21" i="27"/>
  <c r="U29" i="27"/>
  <c r="U37" i="27"/>
  <c r="U45" i="27"/>
  <c r="U53" i="27"/>
  <c r="U69" i="27"/>
  <c r="U77" i="27"/>
  <c r="U85" i="27"/>
  <c r="U93" i="27"/>
  <c r="U101" i="27"/>
  <c r="U109" i="27"/>
  <c r="U61" i="27"/>
  <c r="U6" i="27"/>
  <c r="U14" i="27"/>
  <c r="U22" i="27"/>
  <c r="U30" i="27"/>
  <c r="U38" i="27"/>
  <c r="U46" i="27"/>
  <c r="U54" i="27"/>
  <c r="U62" i="27"/>
  <c r="U70" i="27"/>
  <c r="U78" i="27"/>
  <c r="U86" i="27"/>
  <c r="U94" i="27"/>
  <c r="U102" i="27"/>
  <c r="U2" i="27"/>
  <c r="U91" i="27"/>
  <c r="U7" i="27"/>
  <c r="U15" i="27"/>
  <c r="U23" i="27"/>
  <c r="U31" i="27"/>
  <c r="U39" i="27"/>
  <c r="U47" i="27"/>
  <c r="U55" i="27"/>
  <c r="U63" i="27"/>
  <c r="U71" i="27"/>
  <c r="U79" i="27"/>
  <c r="U87" i="27"/>
  <c r="U95" i="27"/>
  <c r="U103" i="27"/>
  <c r="U83" i="27"/>
  <c r="U8" i="27"/>
  <c r="U16" i="27"/>
  <c r="U24" i="27"/>
  <c r="U32" i="27"/>
  <c r="U40" i="27"/>
  <c r="U48" i="27"/>
  <c r="U56" i="27"/>
  <c r="U64" i="27"/>
  <c r="U72" i="27"/>
  <c r="U80" i="27"/>
  <c r="U88" i="27"/>
  <c r="U96" i="27"/>
  <c r="U104" i="27"/>
  <c r="U99" i="27"/>
  <c r="U9" i="27"/>
  <c r="U17" i="27"/>
  <c r="U25" i="27"/>
  <c r="U33" i="27"/>
  <c r="U41" i="27"/>
  <c r="U49" i="27"/>
  <c r="U57" i="27"/>
  <c r="U65" i="27"/>
  <c r="U73" i="27"/>
  <c r="U81" i="27"/>
  <c r="U89" i="27"/>
  <c r="U97" i="27"/>
  <c r="U105" i="27"/>
  <c r="U10" i="27"/>
  <c r="U18" i="27"/>
  <c r="U26" i="27"/>
  <c r="U34" i="27"/>
  <c r="U42" i="27"/>
  <c r="U50" i="27"/>
  <c r="U58" i="27"/>
  <c r="U66" i="27"/>
  <c r="U74" i="27"/>
  <c r="U82" i="27"/>
  <c r="U90" i="27"/>
  <c r="U98" i="27"/>
  <c r="U106" i="27"/>
  <c r="U107" i="27"/>
  <c r="M28" i="14"/>
  <c r="W3" i="27"/>
  <c r="W7" i="27"/>
  <c r="W11" i="27"/>
  <c r="W15" i="27"/>
  <c r="W19" i="27"/>
  <c r="W23" i="27"/>
  <c r="W27" i="27"/>
  <c r="W31" i="27"/>
  <c r="W35" i="27"/>
  <c r="W39" i="27"/>
  <c r="W43" i="27"/>
  <c r="W47" i="27"/>
  <c r="W51" i="27"/>
  <c r="W55" i="27"/>
  <c r="W59" i="27"/>
  <c r="W63" i="27"/>
  <c r="W67" i="27"/>
  <c r="W71" i="27"/>
  <c r="W75" i="27"/>
  <c r="W79" i="27"/>
  <c r="W83" i="27"/>
  <c r="W87" i="27"/>
  <c r="W91" i="27"/>
  <c r="W95" i="27"/>
  <c r="W99" i="27"/>
  <c r="W103" i="27"/>
  <c r="W107" i="27"/>
  <c r="W4" i="27"/>
  <c r="W8" i="27"/>
  <c r="W12" i="27"/>
  <c r="W16" i="27"/>
  <c r="W20" i="27"/>
  <c r="W24" i="27"/>
  <c r="W28" i="27"/>
  <c r="W32" i="27"/>
  <c r="W36" i="27"/>
  <c r="W40" i="27"/>
  <c r="W44" i="27"/>
  <c r="W48" i="27"/>
  <c r="W52" i="27"/>
  <c r="W56" i="27"/>
  <c r="W60" i="27"/>
  <c r="W64" i="27"/>
  <c r="W68" i="27"/>
  <c r="W72" i="27"/>
  <c r="W76" i="27"/>
  <c r="W80" i="27"/>
  <c r="W84" i="27"/>
  <c r="W88" i="27"/>
  <c r="W92" i="27"/>
  <c r="W96" i="27"/>
  <c r="W100" i="27"/>
  <c r="W104" i="27"/>
  <c r="W108" i="27"/>
  <c r="W14" i="27"/>
  <c r="W58" i="27"/>
  <c r="W70" i="27"/>
  <c r="W82" i="27"/>
  <c r="W90" i="27"/>
  <c r="W98" i="27"/>
  <c r="W5" i="27"/>
  <c r="W9" i="27"/>
  <c r="W13" i="27"/>
  <c r="W17" i="27"/>
  <c r="W21" i="27"/>
  <c r="W25" i="27"/>
  <c r="W29" i="27"/>
  <c r="W33" i="27"/>
  <c r="W37" i="27"/>
  <c r="W41" i="27"/>
  <c r="W45" i="27"/>
  <c r="W49" i="27"/>
  <c r="W53" i="27"/>
  <c r="W57" i="27"/>
  <c r="W61" i="27"/>
  <c r="W65" i="27"/>
  <c r="W69" i="27"/>
  <c r="W73" i="27"/>
  <c r="W77" i="27"/>
  <c r="W81" i="27"/>
  <c r="W85" i="27"/>
  <c r="W89" i="27"/>
  <c r="W93" i="27"/>
  <c r="W97" i="27"/>
  <c r="W101" i="27"/>
  <c r="W105" i="27"/>
  <c r="W109" i="27"/>
  <c r="W22" i="27"/>
  <c r="W74" i="27"/>
  <c r="W106" i="27"/>
  <c r="W2" i="27"/>
  <c r="W6" i="27"/>
  <c r="W10" i="27"/>
  <c r="W18" i="27"/>
  <c r="W26" i="27"/>
  <c r="W30" i="27"/>
  <c r="W34" i="27"/>
  <c r="W38" i="27"/>
  <c r="W42" i="27"/>
  <c r="W46" i="27"/>
  <c r="W50" i="27"/>
  <c r="W54" i="27"/>
  <c r="W62" i="27"/>
  <c r="W66" i="27"/>
  <c r="W78" i="27"/>
  <c r="W86" i="27"/>
  <c r="W94" i="27"/>
  <c r="W102" i="27"/>
  <c r="V8" i="27"/>
  <c r="V16" i="27"/>
  <c r="V24" i="27"/>
  <c r="V32" i="27"/>
  <c r="V40" i="27"/>
  <c r="V48" i="27"/>
  <c r="V56" i="27"/>
  <c r="V64" i="27"/>
  <c r="V72" i="27"/>
  <c r="V80" i="27"/>
  <c r="V88" i="27"/>
  <c r="V96" i="27"/>
  <c r="V104" i="27"/>
  <c r="V3" i="27"/>
  <c r="V11" i="27"/>
  <c r="V19" i="27"/>
  <c r="V27" i="27"/>
  <c r="V35" i="27"/>
  <c r="V43" i="27"/>
  <c r="V51" i="27"/>
  <c r="V59" i="27"/>
  <c r="V67" i="27"/>
  <c r="V75" i="27"/>
  <c r="V83" i="27"/>
  <c r="V91" i="27"/>
  <c r="V99" i="27"/>
  <c r="V107" i="27"/>
  <c r="V6" i="27"/>
  <c r="V14" i="27"/>
  <c r="V22" i="27"/>
  <c r="V30" i="27"/>
  <c r="V38" i="27"/>
  <c r="V46" i="27"/>
  <c r="V54" i="27"/>
  <c r="V62" i="27"/>
  <c r="V70" i="27"/>
  <c r="V78" i="27"/>
  <c r="V86" i="27"/>
  <c r="V94" i="27"/>
  <c r="V102" i="27"/>
  <c r="V2" i="27"/>
  <c r="V9" i="27"/>
  <c r="V17" i="27"/>
  <c r="V25" i="27"/>
  <c r="V33" i="27"/>
  <c r="V41" i="27"/>
  <c r="V49" i="27"/>
  <c r="V57" i="27"/>
  <c r="V65" i="27"/>
  <c r="V73" i="27"/>
  <c r="V81" i="27"/>
  <c r="V89" i="27"/>
  <c r="V97" i="27"/>
  <c r="V105" i="27"/>
  <c r="V109" i="27"/>
  <c r="V4" i="27"/>
  <c r="V12" i="27"/>
  <c r="V20" i="27"/>
  <c r="V28" i="27"/>
  <c r="V36" i="27"/>
  <c r="V44" i="27"/>
  <c r="V52" i="27"/>
  <c r="V60" i="27"/>
  <c r="V68" i="27"/>
  <c r="V76" i="27"/>
  <c r="V84" i="27"/>
  <c r="V92" i="27"/>
  <c r="V100" i="27"/>
  <c r="V108" i="27"/>
  <c r="V7" i="27"/>
  <c r="V15" i="27"/>
  <c r="V23" i="27"/>
  <c r="V31" i="27"/>
  <c r="V39" i="27"/>
  <c r="V47" i="27"/>
  <c r="V55" i="27"/>
  <c r="V63" i="27"/>
  <c r="V71" i="27"/>
  <c r="V79" i="27"/>
  <c r="V87" i="27"/>
  <c r="V95" i="27"/>
  <c r="V103" i="27"/>
  <c r="V10" i="27"/>
  <c r="V18" i="27"/>
  <c r="V26" i="27"/>
  <c r="V34" i="27"/>
  <c r="V42" i="27"/>
  <c r="V50" i="27"/>
  <c r="V58" i="27"/>
  <c r="V66" i="27"/>
  <c r="V74" i="27"/>
  <c r="V82" i="27"/>
  <c r="V90" i="27"/>
  <c r="V98" i="27"/>
  <c r="V106" i="27"/>
  <c r="V5" i="27"/>
  <c r="V13" i="27"/>
  <c r="V21" i="27"/>
  <c r="V29" i="27"/>
  <c r="V37" i="27"/>
  <c r="V45" i="27"/>
  <c r="V53" i="27"/>
  <c r="V61" i="27"/>
  <c r="V69" i="27"/>
  <c r="V77" i="27"/>
  <c r="V85" i="27"/>
  <c r="V93" i="27"/>
  <c r="V101" i="27"/>
  <c r="T107" i="27"/>
  <c r="G107" i="27" s="1"/>
  <c r="T109" i="27"/>
  <c r="G109" i="27" s="1"/>
  <c r="T3" i="27"/>
  <c r="G3" i="27" s="1"/>
  <c r="T5" i="27"/>
  <c r="T7" i="27"/>
  <c r="G7" i="27" s="1"/>
  <c r="T9" i="27"/>
  <c r="T13" i="27"/>
  <c r="T15" i="27"/>
  <c r="T17" i="27"/>
  <c r="G17" i="27" s="1"/>
  <c r="T19" i="27"/>
  <c r="T21" i="27"/>
  <c r="G21" i="27" s="1"/>
  <c r="T23" i="27"/>
  <c r="G23" i="27" s="1"/>
  <c r="T25" i="27"/>
  <c r="G25" i="27" s="1"/>
  <c r="T27" i="27"/>
  <c r="T29" i="27"/>
  <c r="G29" i="27" s="1"/>
  <c r="T31" i="27"/>
  <c r="T33" i="27"/>
  <c r="G33" i="27" s="1"/>
  <c r="T37" i="27"/>
  <c r="T39" i="27"/>
  <c r="T41" i="27"/>
  <c r="T43" i="27"/>
  <c r="G43" i="27" s="1"/>
  <c r="T47" i="27"/>
  <c r="T49" i="27"/>
  <c r="G49" i="27" s="1"/>
  <c r="T53" i="27"/>
  <c r="G53" i="27" s="1"/>
  <c r="T57" i="27"/>
  <c r="G57" i="27" s="1"/>
  <c r="T59" i="27"/>
  <c r="G59" i="27" s="1"/>
  <c r="T63" i="27"/>
  <c r="G63" i="27" s="1"/>
  <c r="T69" i="27"/>
  <c r="T73" i="27"/>
  <c r="G73" i="27" s="1"/>
  <c r="T75" i="27"/>
  <c r="T79" i="27"/>
  <c r="G79" i="27" s="1"/>
  <c r="T81" i="27"/>
  <c r="T85" i="27"/>
  <c r="T89" i="27"/>
  <c r="G89" i="27" s="1"/>
  <c r="T91" i="27"/>
  <c r="T95" i="27"/>
  <c r="T101" i="27"/>
  <c r="G101" i="27" s="1"/>
  <c r="T11" i="27"/>
  <c r="T35" i="27"/>
  <c r="G35" i="27" s="1"/>
  <c r="T45" i="27"/>
  <c r="G45" i="27" s="1"/>
  <c r="T51" i="27"/>
  <c r="T55" i="27"/>
  <c r="G55" i="27" s="1"/>
  <c r="T61" i="27"/>
  <c r="G61" i="27" s="1"/>
  <c r="T65" i="27"/>
  <c r="T71" i="27"/>
  <c r="G71" i="27" s="1"/>
  <c r="T77" i="27"/>
  <c r="T83" i="27"/>
  <c r="T87" i="27"/>
  <c r="G87" i="27" s="1"/>
  <c r="T93" i="27"/>
  <c r="G93" i="27" s="1"/>
  <c r="T99" i="27"/>
  <c r="G99" i="27" s="1"/>
  <c r="T103" i="27"/>
  <c r="T6" i="27"/>
  <c r="G6" i="27" s="1"/>
  <c r="T12" i="27"/>
  <c r="G12" i="27" s="1"/>
  <c r="T18" i="27"/>
  <c r="T22" i="27"/>
  <c r="G22" i="27" s="1"/>
  <c r="T28" i="27"/>
  <c r="G28" i="27" s="1"/>
  <c r="T32" i="27"/>
  <c r="G32" i="27" s="1"/>
  <c r="T38" i="27"/>
  <c r="T44" i="27"/>
  <c r="G44" i="27" s="1"/>
  <c r="T50" i="27"/>
  <c r="T56" i="27"/>
  <c r="G56" i="27" s="1"/>
  <c r="T60" i="27"/>
  <c r="T66" i="27"/>
  <c r="G66" i="27" s="1"/>
  <c r="T74" i="27"/>
  <c r="G74" i="27" s="1"/>
  <c r="T82" i="27"/>
  <c r="G82" i="27" s="1"/>
  <c r="T88" i="27"/>
  <c r="G88" i="27" s="1"/>
  <c r="T94" i="27"/>
  <c r="T100" i="27"/>
  <c r="G100" i="27" s="1"/>
  <c r="T106" i="27"/>
  <c r="G106" i="27" s="1"/>
  <c r="T4" i="27"/>
  <c r="G4" i="27" s="1"/>
  <c r="T16" i="27"/>
  <c r="G16" i="27" s="1"/>
  <c r="T24" i="27"/>
  <c r="G24" i="27" s="1"/>
  <c r="T30" i="27"/>
  <c r="T36" i="27"/>
  <c r="G36" i="27" s="1"/>
  <c r="T42" i="27"/>
  <c r="G42" i="27" s="1"/>
  <c r="T46" i="27"/>
  <c r="T52" i="27"/>
  <c r="G52" i="27" s="1"/>
  <c r="T58" i="27"/>
  <c r="T64" i="27"/>
  <c r="T68" i="27"/>
  <c r="G68" i="27" s="1"/>
  <c r="T72" i="27"/>
  <c r="T78" i="27"/>
  <c r="G78" i="27" s="1"/>
  <c r="T80" i="27"/>
  <c r="G80" i="27" s="1"/>
  <c r="T86" i="27"/>
  <c r="G86" i="27" s="1"/>
  <c r="T92" i="27"/>
  <c r="G92" i="27" s="1"/>
  <c r="T96" i="27"/>
  <c r="G96" i="27" s="1"/>
  <c r="T102" i="27"/>
  <c r="G102" i="27" s="1"/>
  <c r="T108" i="27"/>
  <c r="G108" i="27" s="1"/>
  <c r="T8" i="27"/>
  <c r="T10" i="27"/>
  <c r="T14" i="27"/>
  <c r="G14" i="27" s="1"/>
  <c r="T20" i="27"/>
  <c r="G20" i="27" s="1"/>
  <c r="T26" i="27"/>
  <c r="G26" i="27" s="1"/>
  <c r="T34" i="27"/>
  <c r="T40" i="27"/>
  <c r="T48" i="27"/>
  <c r="G48" i="27" s="1"/>
  <c r="T54" i="27"/>
  <c r="G54" i="27" s="1"/>
  <c r="T62" i="27"/>
  <c r="T70" i="27"/>
  <c r="G70" i="27" s="1"/>
  <c r="T76" i="27"/>
  <c r="T84" i="27"/>
  <c r="G84" i="27" s="1"/>
  <c r="T90" i="27"/>
  <c r="G90" i="27" s="1"/>
  <c r="T98" i="27"/>
  <c r="T104" i="27"/>
  <c r="T67" i="27"/>
  <c r="G67" i="27" s="1"/>
  <c r="T97" i="27"/>
  <c r="G97" i="27" s="1"/>
  <c r="T105" i="27"/>
  <c r="G105" i="27" s="1"/>
  <c r="N28" i="14"/>
  <c r="M27" i="14"/>
  <c r="M30" i="14"/>
  <c r="M29" i="14"/>
  <c r="O29" i="14"/>
  <c r="N29" i="14"/>
  <c r="P30" i="14"/>
  <c r="O30" i="14"/>
  <c r="N30" i="14"/>
  <c r="G76" i="27" l="1"/>
  <c r="G46" i="27"/>
  <c r="G50" i="27"/>
  <c r="G65" i="27"/>
  <c r="G95" i="27"/>
  <c r="G69" i="27"/>
  <c r="G41" i="27"/>
  <c r="G5" i="27"/>
  <c r="N5" i="27" s="1"/>
  <c r="G94" i="27"/>
  <c r="G103" i="27"/>
  <c r="G91" i="27"/>
  <c r="G39" i="27"/>
  <c r="G62" i="27"/>
  <c r="G10" i="27"/>
  <c r="N10" i="27" s="1"/>
  <c r="G38" i="27"/>
  <c r="G37" i="27"/>
  <c r="G19" i="27"/>
  <c r="G8" i="27"/>
  <c r="G72" i="27"/>
  <c r="G30" i="27"/>
  <c r="G51" i="27"/>
  <c r="G85" i="27"/>
  <c r="G104" i="27"/>
  <c r="G81" i="27"/>
  <c r="G31" i="27"/>
  <c r="G15" i="27"/>
  <c r="G40" i="27"/>
  <c r="G64" i="27"/>
  <c r="G83" i="27"/>
  <c r="G13" i="27"/>
  <c r="G2" i="27"/>
  <c r="G98" i="27"/>
  <c r="G34" i="27"/>
  <c r="G58" i="27"/>
  <c r="G60" i="27"/>
  <c r="G18" i="27"/>
  <c r="G77" i="27"/>
  <c r="G11" i="27"/>
  <c r="N11" i="27" s="1"/>
  <c r="G75" i="27"/>
  <c r="G47" i="27"/>
  <c r="G27" i="27"/>
  <c r="G9" i="27"/>
  <c r="N3" i="27"/>
  <c r="N9" i="27"/>
  <c r="N18" i="27"/>
  <c r="N13" i="27"/>
  <c r="N14" i="27"/>
  <c r="N6" i="27"/>
  <c r="N7" i="27"/>
  <c r="N8" i="27"/>
  <c r="N17" i="27"/>
  <c r="N15" i="27"/>
  <c r="N19" i="27"/>
  <c r="CP21" i="27"/>
  <c r="CQ21" i="27" s="1"/>
  <c r="CN21" i="27"/>
  <c r="CO21" i="27"/>
  <c r="CK22" i="27"/>
  <c r="AR20" i="27"/>
  <c r="AW20" i="27"/>
  <c r="AX20" i="27" s="1"/>
  <c r="N20" i="27" s="1"/>
  <c r="AV20" i="27"/>
  <c r="AT20" i="27"/>
  <c r="AU20" i="27"/>
  <c r="AS20" i="27"/>
  <c r="CP22" i="27" l="1"/>
  <c r="CQ22" i="27" s="1"/>
  <c r="CK23" i="27"/>
  <c r="CN22" i="27"/>
  <c r="CO22" i="27"/>
  <c r="AV21" i="27"/>
  <c r="AT21" i="27"/>
  <c r="AS21" i="27"/>
  <c r="AU21" i="27"/>
  <c r="AW21" i="27"/>
  <c r="AX21" i="27" s="1"/>
  <c r="N21" i="27" s="1"/>
  <c r="AR21" i="27"/>
  <c r="N2" i="27"/>
  <c r="N16" i="27"/>
  <c r="N4" i="27"/>
  <c r="N12" i="27"/>
  <c r="L42" i="15"/>
  <c r="L40" i="15"/>
  <c r="L38" i="15"/>
  <c r="L36" i="15"/>
  <c r="L34" i="15"/>
  <c r="L30" i="15"/>
  <c r="L29" i="15"/>
  <c r="L28" i="15"/>
  <c r="L27" i="15"/>
  <c r="L26" i="15"/>
  <c r="Q25" i="15"/>
  <c r="P25" i="15"/>
  <c r="O25" i="15"/>
  <c r="N25" i="15"/>
  <c r="M25" i="15"/>
  <c r="M29" i="15" s="1"/>
  <c r="Q10" i="15"/>
  <c r="Q15" i="15" s="1"/>
  <c r="Q16" i="15" s="1"/>
  <c r="P10" i="15"/>
  <c r="P18" i="15" s="1"/>
  <c r="O10" i="15"/>
  <c r="O17" i="15" s="1"/>
  <c r="N10" i="15"/>
  <c r="N22" i="15" s="1"/>
  <c r="M10" i="15"/>
  <c r="M17" i="15" s="1"/>
  <c r="L26" i="13"/>
  <c r="M25" i="13"/>
  <c r="N22" i="13"/>
  <c r="M10" i="13"/>
  <c r="M19" i="13" s="1"/>
  <c r="CP23" i="27" l="1"/>
  <c r="CQ23" i="27" s="1"/>
  <c r="CN23" i="27"/>
  <c r="CO23" i="27"/>
  <c r="CK24" i="27"/>
  <c r="AV22" i="27"/>
  <c r="AU22" i="27"/>
  <c r="AS22" i="27"/>
  <c r="AT22" i="27"/>
  <c r="AW22" i="27"/>
  <c r="AX22" i="27" s="1"/>
  <c r="AR22" i="27"/>
  <c r="M34" i="15"/>
  <c r="M35" i="15" s="1"/>
  <c r="R34" i="15"/>
  <c r="R35" i="15" s="1"/>
  <c r="N34" i="15"/>
  <c r="N35" i="15" s="1"/>
  <c r="O34" i="15"/>
  <c r="O35" i="15" s="1"/>
  <c r="Q34" i="15"/>
  <c r="Q35" i="15" s="1"/>
  <c r="P34" i="15"/>
  <c r="P35" i="15" s="1"/>
  <c r="O36" i="15"/>
  <c r="O37" i="15" s="1"/>
  <c r="Q36" i="15"/>
  <c r="Q37" i="15" s="1"/>
  <c r="N36" i="15"/>
  <c r="N37" i="15" s="1"/>
  <c r="P36" i="15"/>
  <c r="P37" i="15" s="1"/>
  <c r="R36" i="15"/>
  <c r="R37" i="15" s="1"/>
  <c r="M36" i="15"/>
  <c r="M37" i="15" s="1"/>
  <c r="N40" i="15"/>
  <c r="N41" i="15" s="1"/>
  <c r="P40" i="15"/>
  <c r="P41" i="15" s="1"/>
  <c r="M40" i="15"/>
  <c r="M41" i="15" s="1"/>
  <c r="R40" i="15"/>
  <c r="R41" i="15" s="1"/>
  <c r="O40" i="15"/>
  <c r="O41" i="15" s="1"/>
  <c r="Q40" i="15"/>
  <c r="Q41" i="15" s="1"/>
  <c r="R42" i="15"/>
  <c r="R43" i="15" s="1"/>
  <c r="M42" i="15"/>
  <c r="M43" i="15" s="1"/>
  <c r="Q42" i="15"/>
  <c r="Q43" i="15" s="1"/>
  <c r="O42" i="15"/>
  <c r="O43" i="15" s="1"/>
  <c r="N42" i="15"/>
  <c r="N43" i="15" s="1"/>
  <c r="P42" i="15"/>
  <c r="P43" i="15" s="1"/>
  <c r="R38" i="15"/>
  <c r="R39" i="15" s="1"/>
  <c r="Q38" i="15"/>
  <c r="Q39" i="15" s="1"/>
  <c r="P38" i="15"/>
  <c r="P39" i="15" s="1"/>
  <c r="O38" i="15"/>
  <c r="O39" i="15" s="1"/>
  <c r="N38" i="15"/>
  <c r="N39" i="15" s="1"/>
  <c r="M38" i="15"/>
  <c r="M39" i="15" s="1"/>
  <c r="M13" i="15"/>
  <c r="M14" i="15"/>
  <c r="M12" i="13"/>
  <c r="O30" i="15"/>
  <c r="M22" i="15"/>
  <c r="M19" i="15"/>
  <c r="M21" i="15"/>
  <c r="M20" i="13"/>
  <c r="P12" i="15"/>
  <c r="P30" i="15"/>
  <c r="Q17" i="15"/>
  <c r="N17" i="15"/>
  <c r="P17" i="15"/>
  <c r="P21" i="15"/>
  <c r="M14" i="13"/>
  <c r="M21" i="13"/>
  <c r="P13" i="15"/>
  <c r="P22" i="15"/>
  <c r="M15" i="13"/>
  <c r="M16" i="13" s="1"/>
  <c r="M11" i="15"/>
  <c r="P14" i="15"/>
  <c r="O19" i="15"/>
  <c r="M22" i="13"/>
  <c r="O11" i="15"/>
  <c r="M15" i="15"/>
  <c r="M16" i="15" s="1"/>
  <c r="M20" i="15"/>
  <c r="N28" i="15"/>
  <c r="O29" i="15"/>
  <c r="M12" i="15"/>
  <c r="N15" i="15"/>
  <c r="N16" i="15" s="1"/>
  <c r="O20" i="15"/>
  <c r="M13" i="13"/>
  <c r="O12" i="15"/>
  <c r="P15" i="15"/>
  <c r="P16" i="15" s="1"/>
  <c r="P20" i="15"/>
  <c r="M28" i="15"/>
  <c r="N11" i="15"/>
  <c r="Q12" i="15"/>
  <c r="O14" i="15"/>
  <c r="N19" i="15"/>
  <c r="Q20" i="15"/>
  <c r="O22" i="15"/>
  <c r="N29" i="15"/>
  <c r="P11" i="15"/>
  <c r="N13" i="15"/>
  <c r="Q14" i="15"/>
  <c r="M18" i="15"/>
  <c r="P19" i="15"/>
  <c r="N21" i="15"/>
  <c r="Q22" i="15"/>
  <c r="M27" i="15"/>
  <c r="Q11" i="15"/>
  <c r="O13" i="15"/>
  <c r="N18" i="15"/>
  <c r="Q19" i="15"/>
  <c r="O21" i="15"/>
  <c r="M30" i="15"/>
  <c r="O18" i="15"/>
  <c r="N30" i="15"/>
  <c r="N12" i="15"/>
  <c r="Q13" i="15"/>
  <c r="O15" i="15"/>
  <c r="O16" i="15" s="1"/>
  <c r="N20" i="15"/>
  <c r="Q21" i="15"/>
  <c r="Q18" i="15"/>
  <c r="N14" i="15"/>
  <c r="N11" i="13"/>
  <c r="N19" i="13"/>
  <c r="N13" i="13"/>
  <c r="M18" i="13"/>
  <c r="N21" i="13"/>
  <c r="M27" i="13"/>
  <c r="N12" i="13"/>
  <c r="M17" i="13"/>
  <c r="N20" i="13"/>
  <c r="N18" i="13"/>
  <c r="N15" i="13"/>
  <c r="N16" i="13" s="1"/>
  <c r="N17" i="13"/>
  <c r="M11" i="13"/>
  <c r="N14" i="13"/>
  <c r="CP24" i="27" l="1"/>
  <c r="CQ24" i="27" s="1"/>
  <c r="CK25" i="27"/>
  <c r="CN24" i="27"/>
  <c r="CO24" i="27"/>
  <c r="N22" i="27"/>
  <c r="AW23" i="27"/>
  <c r="AX23" i="27" s="1"/>
  <c r="AR23" i="27"/>
  <c r="AT23" i="27"/>
  <c r="AV23" i="27"/>
  <c r="AS23" i="27"/>
  <c r="AU23" i="27"/>
  <c r="BG81" i="11"/>
  <c r="BB81" i="11" s="1"/>
  <c r="BG33" i="11"/>
  <c r="BB33" i="11" s="1"/>
  <c r="BG62" i="11"/>
  <c r="BB62" i="11" s="1"/>
  <c r="BG68" i="11"/>
  <c r="BB68" i="11" s="1"/>
  <c r="BG47" i="11"/>
  <c r="BB47" i="11" s="1"/>
  <c r="BG12" i="11"/>
  <c r="BB12" i="11" s="1"/>
  <c r="BG26" i="11"/>
  <c r="BB26" i="11" s="1"/>
  <c r="BG37" i="11"/>
  <c r="BB37" i="11" s="1"/>
  <c r="BG51" i="11"/>
  <c r="BB51" i="11" s="1"/>
  <c r="BG25" i="11"/>
  <c r="BB25" i="11" s="1"/>
  <c r="BG40" i="11"/>
  <c r="BB40" i="11" s="1"/>
  <c r="BG35" i="11"/>
  <c r="BB35" i="11" s="1"/>
  <c r="BG30" i="11"/>
  <c r="BB30" i="11" s="1"/>
  <c r="BG20" i="11"/>
  <c r="BB20" i="11" s="1"/>
  <c r="BG7" i="11"/>
  <c r="BB7" i="11" s="1"/>
  <c r="BG58" i="11"/>
  <c r="BB58" i="11" s="1"/>
  <c r="BG69" i="11"/>
  <c r="BB69" i="11" s="1"/>
  <c r="BG16" i="11"/>
  <c r="BB16" i="11" s="1"/>
  <c r="BG56" i="11"/>
  <c r="BB56" i="11" s="1"/>
  <c r="BG48" i="11"/>
  <c r="BB48" i="11" s="1"/>
  <c r="BG11" i="11"/>
  <c r="BB11" i="11" s="1"/>
  <c r="BG22" i="11"/>
  <c r="BB22" i="11" s="1"/>
  <c r="BG71" i="11"/>
  <c r="BB71" i="11" s="1"/>
  <c r="BG84" i="11"/>
  <c r="BB84" i="11" s="1"/>
  <c r="BG50" i="11"/>
  <c r="BB50" i="11" s="1"/>
  <c r="BG61" i="11"/>
  <c r="BB61" i="11" s="1"/>
  <c r="BG83" i="11"/>
  <c r="BB83" i="11" s="1"/>
  <c r="BG24" i="11"/>
  <c r="BB24" i="11" s="1"/>
  <c r="BG73" i="11"/>
  <c r="BB73" i="11" s="1"/>
  <c r="BG3" i="11"/>
  <c r="BB3" i="11" s="1"/>
  <c r="BG6" i="11"/>
  <c r="BB6" i="11" s="1"/>
  <c r="BG63" i="11"/>
  <c r="BB63" i="11" s="1"/>
  <c r="BG52" i="11"/>
  <c r="BB52" i="11" s="1"/>
  <c r="BG42" i="11"/>
  <c r="BB42" i="11" s="1"/>
  <c r="BG53" i="11"/>
  <c r="BB53" i="11" s="1"/>
  <c r="BG75" i="11"/>
  <c r="BB75" i="11" s="1"/>
  <c r="BG17" i="11"/>
  <c r="BB17" i="11" s="1"/>
  <c r="BG41" i="11"/>
  <c r="BB41" i="11" s="1"/>
  <c r="BG70" i="11"/>
  <c r="BB70" i="11" s="1"/>
  <c r="BG76" i="11"/>
  <c r="BB76" i="11" s="1"/>
  <c r="BG55" i="11"/>
  <c r="BB55" i="11" s="1"/>
  <c r="BG28" i="11"/>
  <c r="BB28" i="11" s="1"/>
  <c r="BG34" i="11"/>
  <c r="BB34" i="11" s="1"/>
  <c r="BG45" i="11"/>
  <c r="BB45" i="11" s="1"/>
  <c r="BG67" i="11"/>
  <c r="BB67" i="11" s="1"/>
  <c r="BG2" i="11"/>
  <c r="BB2" i="11" s="1"/>
  <c r="BG64" i="11"/>
  <c r="BB64" i="11" s="1"/>
  <c r="BG9" i="11"/>
  <c r="BB9" i="11" s="1"/>
  <c r="BG54" i="11"/>
  <c r="BB54" i="11" s="1"/>
  <c r="BG60" i="11"/>
  <c r="BB60" i="11" s="1"/>
  <c r="BG39" i="11"/>
  <c r="BB39" i="11" s="1"/>
  <c r="BG4" i="11"/>
  <c r="BB4" i="11" s="1"/>
  <c r="BG18" i="11"/>
  <c r="BB18" i="11" s="1"/>
  <c r="BG21" i="11"/>
  <c r="BB21" i="11" s="1"/>
  <c r="BG27" i="11"/>
  <c r="BB27" i="11" s="1"/>
  <c r="BG32" i="11"/>
  <c r="BB32" i="11" s="1"/>
  <c r="BG80" i="11"/>
  <c r="BB80" i="11" s="1"/>
  <c r="BG8" i="11"/>
  <c r="BB8" i="11" s="1"/>
  <c r="BG46" i="11"/>
  <c r="BB46" i="11" s="1"/>
  <c r="BG44" i="11"/>
  <c r="BB44" i="11" s="1"/>
  <c r="BG31" i="11"/>
  <c r="BB31" i="11" s="1"/>
  <c r="BG82" i="11"/>
  <c r="BB82" i="11" s="1"/>
  <c r="BG85" i="11"/>
  <c r="BB85" i="11" s="1"/>
  <c r="BG13" i="11"/>
  <c r="BB13" i="11" s="1"/>
  <c r="BG19" i="11"/>
  <c r="BB19" i="11" s="1"/>
  <c r="BG57" i="11"/>
  <c r="BB57" i="11" s="1"/>
  <c r="BG72" i="11"/>
  <c r="BB72" i="11" s="1"/>
  <c r="BG43" i="11"/>
  <c r="BB43" i="11" s="1"/>
  <c r="BG38" i="11"/>
  <c r="BB38" i="11" s="1"/>
  <c r="BG36" i="11"/>
  <c r="BB36" i="11" s="1"/>
  <c r="BG23" i="11"/>
  <c r="BB23" i="11" s="1"/>
  <c r="BG66" i="11"/>
  <c r="BB66" i="11" s="1"/>
  <c r="BG77" i="11"/>
  <c r="BB77" i="11" s="1"/>
  <c r="BG5" i="11"/>
  <c r="BB5" i="11" s="1"/>
  <c r="BG59" i="11"/>
  <c r="BB59" i="11" s="1"/>
  <c r="BK38" i="11"/>
  <c r="BF38" i="11" s="1"/>
  <c r="BI41" i="11"/>
  <c r="BD41" i="11" s="1"/>
  <c r="BI33" i="11"/>
  <c r="BD33" i="11" s="1"/>
  <c r="BI71" i="11"/>
  <c r="BD71" i="11" s="1"/>
  <c r="BI74" i="11"/>
  <c r="BD74" i="11" s="1"/>
  <c r="BI29" i="11"/>
  <c r="BD29" i="11" s="1"/>
  <c r="BI62" i="11"/>
  <c r="BD62" i="11" s="1"/>
  <c r="BI10" i="11"/>
  <c r="BD10" i="11" s="1"/>
  <c r="BI9" i="11"/>
  <c r="BD9" i="11" s="1"/>
  <c r="BI67" i="11"/>
  <c r="BD67" i="11" s="1"/>
  <c r="BI23" i="11"/>
  <c r="BD23" i="11" s="1"/>
  <c r="BI28" i="11"/>
  <c r="BD28" i="11" s="1"/>
  <c r="BI58" i="11"/>
  <c r="BD58" i="11" s="1"/>
  <c r="BI43" i="11"/>
  <c r="BD43" i="11" s="1"/>
  <c r="BI70" i="11"/>
  <c r="BD70" i="11" s="1"/>
  <c r="BI65" i="11"/>
  <c r="BD65" i="11" s="1"/>
  <c r="BI18" i="11"/>
  <c r="BD18" i="11" s="1"/>
  <c r="BI24" i="11"/>
  <c r="BD24" i="11" s="1"/>
  <c r="BI78" i="11"/>
  <c r="BD78" i="11" s="1"/>
  <c r="BI52" i="11"/>
  <c r="BD52" i="11" s="1"/>
  <c r="BI53" i="11"/>
  <c r="BD53" i="11" s="1"/>
  <c r="BI48" i="11"/>
  <c r="BD48" i="11" s="1"/>
  <c r="BI3" i="11"/>
  <c r="BD3" i="11" s="1"/>
  <c r="BI38" i="11"/>
  <c r="BD38" i="11" s="1"/>
  <c r="BI15" i="11"/>
  <c r="BD15" i="11" s="1"/>
  <c r="BI39" i="11"/>
  <c r="BD39" i="11" s="1"/>
  <c r="BI84" i="11"/>
  <c r="BD84" i="11" s="1"/>
  <c r="BI20" i="11"/>
  <c r="BD20" i="11" s="1"/>
  <c r="BI85" i="11"/>
  <c r="BD85" i="11" s="1"/>
  <c r="BI21" i="11"/>
  <c r="BD21" i="11" s="1"/>
  <c r="BI80" i="11"/>
  <c r="BD80" i="11" s="1"/>
  <c r="BI16" i="11"/>
  <c r="BD16" i="11" s="1"/>
  <c r="BI35" i="11"/>
  <c r="BD35" i="11" s="1"/>
  <c r="BI25" i="11"/>
  <c r="BD25" i="11" s="1"/>
  <c r="BI7" i="11"/>
  <c r="BD7" i="11" s="1"/>
  <c r="BI54" i="11"/>
  <c r="BD54" i="11" s="1"/>
  <c r="BI14" i="11"/>
  <c r="BD14" i="11" s="1"/>
  <c r="BI76" i="11"/>
  <c r="BD76" i="11" s="1"/>
  <c r="BI12" i="11"/>
  <c r="BD12" i="11" s="1"/>
  <c r="BI77" i="11"/>
  <c r="BD77" i="11" s="1"/>
  <c r="BI13" i="11"/>
  <c r="BD13" i="11" s="1"/>
  <c r="BI72" i="11"/>
  <c r="BD72" i="11" s="1"/>
  <c r="BI8" i="11"/>
  <c r="BD8" i="11" s="1"/>
  <c r="BI27" i="11"/>
  <c r="BD27" i="11" s="1"/>
  <c r="BI17" i="11"/>
  <c r="BD17" i="11" s="1"/>
  <c r="BI63" i="11"/>
  <c r="BD63" i="11" s="1"/>
  <c r="BI22" i="11"/>
  <c r="BD22" i="11" s="1"/>
  <c r="BI81" i="11"/>
  <c r="BD81" i="11" s="1"/>
  <c r="BI68" i="11"/>
  <c r="BD68" i="11" s="1"/>
  <c r="BI4" i="11"/>
  <c r="BD4" i="11" s="1"/>
  <c r="BI69" i="11"/>
  <c r="BD69" i="11" s="1"/>
  <c r="BI5" i="11"/>
  <c r="BD5" i="11" s="1"/>
  <c r="BI64" i="11"/>
  <c r="BD64" i="11" s="1"/>
  <c r="BI83" i="11"/>
  <c r="BD83" i="11" s="1"/>
  <c r="BI19" i="11"/>
  <c r="BD19" i="11" s="1"/>
  <c r="BI31" i="11"/>
  <c r="BD31" i="11" s="1"/>
  <c r="BI79" i="11"/>
  <c r="BD79" i="11" s="1"/>
  <c r="BI73" i="11"/>
  <c r="BD73" i="11" s="1"/>
  <c r="BI60" i="11"/>
  <c r="BD60" i="11" s="1"/>
  <c r="BI82" i="11"/>
  <c r="BD82" i="11" s="1"/>
  <c r="BI61" i="11"/>
  <c r="BD61" i="11" s="1"/>
  <c r="BI66" i="11"/>
  <c r="BD66" i="11" s="1"/>
  <c r="BI56" i="11"/>
  <c r="BD56" i="11" s="1"/>
  <c r="BI75" i="11"/>
  <c r="BD75" i="11" s="1"/>
  <c r="BI11" i="11"/>
  <c r="BD11" i="11" s="1"/>
  <c r="BI30" i="11"/>
  <c r="BD30" i="11" s="1"/>
  <c r="BI46" i="11"/>
  <c r="BD46" i="11" s="1"/>
  <c r="BI57" i="11"/>
  <c r="BD57" i="11" s="1"/>
  <c r="BI44" i="11"/>
  <c r="BD44" i="11" s="1"/>
  <c r="BI50" i="11"/>
  <c r="BD50" i="11" s="1"/>
  <c r="BI45" i="11"/>
  <c r="BD45" i="11" s="1"/>
  <c r="BI42" i="11"/>
  <c r="BD42" i="11" s="1"/>
  <c r="BI40" i="11"/>
  <c r="BD40" i="11" s="1"/>
  <c r="BI59" i="11"/>
  <c r="BD59" i="11" s="1"/>
  <c r="BI6" i="11"/>
  <c r="BD6" i="11" s="1"/>
  <c r="BI2" i="11"/>
  <c r="BD2" i="11" s="1"/>
  <c r="BI55" i="11"/>
  <c r="BD55" i="11" s="1"/>
  <c r="BI47" i="11"/>
  <c r="BD47" i="11" s="1"/>
  <c r="BI49" i="11"/>
  <c r="BD49" i="11" s="1"/>
  <c r="BI36" i="11"/>
  <c r="BD36" i="11" s="1"/>
  <c r="BI26" i="11"/>
  <c r="BD26" i="11" s="1"/>
  <c r="BI37" i="11"/>
  <c r="BD37" i="11" s="1"/>
  <c r="BI34" i="11"/>
  <c r="BD34" i="11" s="1"/>
  <c r="BI32" i="11"/>
  <c r="BD32" i="11" s="1"/>
  <c r="BI51" i="11"/>
  <c r="BD51" i="11" s="1"/>
  <c r="BG49" i="11"/>
  <c r="BB49" i="11" s="1"/>
  <c r="BG65" i="11"/>
  <c r="BB65" i="11" s="1"/>
  <c r="BG78" i="11"/>
  <c r="BB78" i="11" s="1"/>
  <c r="BG14" i="11"/>
  <c r="BB14" i="11" s="1"/>
  <c r="BG79" i="11"/>
  <c r="BB79" i="11" s="1"/>
  <c r="BG15" i="11"/>
  <c r="BB15" i="11" s="1"/>
  <c r="BG74" i="11"/>
  <c r="BB74" i="11" s="1"/>
  <c r="BG10" i="11"/>
  <c r="BB10" i="11" s="1"/>
  <c r="BG29" i="11"/>
  <c r="BB29" i="11" s="1"/>
  <c r="BK100" i="11"/>
  <c r="BF100" i="11" s="1"/>
  <c r="BK88" i="11"/>
  <c r="BF88" i="11" s="1"/>
  <c r="BK89" i="11"/>
  <c r="BF89" i="11" s="1"/>
  <c r="BK99" i="11"/>
  <c r="BF99" i="11" s="1"/>
  <c r="BK94" i="11"/>
  <c r="BF94" i="11" s="1"/>
  <c r="BK97" i="11"/>
  <c r="BF97" i="11" s="1"/>
  <c r="BK107" i="11"/>
  <c r="BF107" i="11" s="1"/>
  <c r="BK102" i="11"/>
  <c r="BF102" i="11" s="1"/>
  <c r="BK87" i="11"/>
  <c r="BF87" i="11" s="1"/>
  <c r="BK92" i="11"/>
  <c r="BF92" i="11" s="1"/>
  <c r="BK98" i="11"/>
  <c r="BF98" i="11" s="1"/>
  <c r="BK109" i="11"/>
  <c r="BF109" i="11" s="1"/>
  <c r="BK103" i="11"/>
  <c r="BF103" i="11" s="1"/>
  <c r="BK96" i="11"/>
  <c r="BF96" i="11" s="1"/>
  <c r="BK93" i="11"/>
  <c r="BF93" i="11" s="1"/>
  <c r="BK104" i="11"/>
  <c r="BF104" i="11" s="1"/>
  <c r="BK108" i="11"/>
  <c r="BF108" i="11" s="1"/>
  <c r="BK106" i="11"/>
  <c r="BF106" i="11" s="1"/>
  <c r="BK91" i="11"/>
  <c r="BF91" i="11" s="1"/>
  <c r="BK86" i="11"/>
  <c r="BF86" i="11" s="1"/>
  <c r="BK105" i="11"/>
  <c r="BF105" i="11" s="1"/>
  <c r="BK90" i="11"/>
  <c r="BF90" i="11" s="1"/>
  <c r="BK101" i="11"/>
  <c r="BF101" i="11" s="1"/>
  <c r="BK95" i="11"/>
  <c r="BF95" i="11" s="1"/>
  <c r="BJ104" i="11"/>
  <c r="BE104" i="11" s="1"/>
  <c r="BJ89" i="11"/>
  <c r="BE89" i="11" s="1"/>
  <c r="BJ100" i="11"/>
  <c r="BE100" i="11" s="1"/>
  <c r="BJ94" i="11"/>
  <c r="BE94" i="11" s="1"/>
  <c r="BJ87" i="11"/>
  <c r="BE87" i="11" s="1"/>
  <c r="BJ99" i="11"/>
  <c r="BE99" i="11" s="1"/>
  <c r="BJ96" i="11"/>
  <c r="BE96" i="11" s="1"/>
  <c r="BJ92" i="11"/>
  <c r="BE92" i="11" s="1"/>
  <c r="BJ95" i="11"/>
  <c r="BE95" i="11" s="1"/>
  <c r="BJ105" i="11"/>
  <c r="BE105" i="11" s="1"/>
  <c r="BJ109" i="11"/>
  <c r="BE109" i="11" s="1"/>
  <c r="BJ88" i="11"/>
  <c r="BE88" i="11" s="1"/>
  <c r="BJ98" i="11"/>
  <c r="BE98" i="11" s="1"/>
  <c r="BJ93" i="11"/>
  <c r="BE93" i="11" s="1"/>
  <c r="BJ107" i="11"/>
  <c r="BE107" i="11" s="1"/>
  <c r="BJ101" i="11"/>
  <c r="BE101" i="11" s="1"/>
  <c r="BJ97" i="11"/>
  <c r="BE97" i="11" s="1"/>
  <c r="BJ108" i="11"/>
  <c r="BE108" i="11" s="1"/>
  <c r="BJ102" i="11"/>
  <c r="BE102" i="11" s="1"/>
  <c r="BJ106" i="11"/>
  <c r="BE106" i="11" s="1"/>
  <c r="BJ86" i="11"/>
  <c r="BE86" i="11" s="1"/>
  <c r="BJ103" i="11"/>
  <c r="BE103" i="11" s="1"/>
  <c r="BJ91" i="11"/>
  <c r="BE91" i="11" s="1"/>
  <c r="BJ90" i="11"/>
  <c r="BE90" i="11" s="1"/>
  <c r="BI102" i="11"/>
  <c r="BD102" i="11" s="1"/>
  <c r="BI89" i="11"/>
  <c r="BD89" i="11" s="1"/>
  <c r="BI103" i="11"/>
  <c r="BD103" i="11" s="1"/>
  <c r="BI88" i="11"/>
  <c r="BD88" i="11" s="1"/>
  <c r="BI99" i="11"/>
  <c r="BD99" i="11" s="1"/>
  <c r="BI108" i="11"/>
  <c r="BD108" i="11" s="1"/>
  <c r="BI93" i="11"/>
  <c r="BD93" i="11" s="1"/>
  <c r="BI100" i="11"/>
  <c r="BD100" i="11" s="1"/>
  <c r="BI86" i="11"/>
  <c r="BD86" i="11" s="1"/>
  <c r="BI98" i="11"/>
  <c r="BD98" i="11" s="1"/>
  <c r="BI91" i="11"/>
  <c r="BD91" i="11" s="1"/>
  <c r="BI90" i="11"/>
  <c r="BD90" i="11" s="1"/>
  <c r="BI87" i="11"/>
  <c r="BD87" i="11" s="1"/>
  <c r="BI97" i="11"/>
  <c r="BD97" i="11" s="1"/>
  <c r="BI92" i="11"/>
  <c r="BD92" i="11" s="1"/>
  <c r="BI94" i="11"/>
  <c r="BD94" i="11" s="1"/>
  <c r="BI96" i="11"/>
  <c r="BD96" i="11" s="1"/>
  <c r="BI107" i="11"/>
  <c r="BD107" i="11" s="1"/>
  <c r="BI101" i="11"/>
  <c r="BD101" i="11" s="1"/>
  <c r="BI106" i="11"/>
  <c r="BD106" i="11" s="1"/>
  <c r="BI95" i="11"/>
  <c r="BD95" i="11" s="1"/>
  <c r="BI105" i="11"/>
  <c r="BD105" i="11" s="1"/>
  <c r="BI109" i="11"/>
  <c r="BD109" i="11" s="1"/>
  <c r="BI104" i="11"/>
  <c r="BD104" i="11" s="1"/>
  <c r="BH109" i="11"/>
  <c r="BC109" i="11" s="1"/>
  <c r="BH103" i="11"/>
  <c r="BC103" i="11" s="1"/>
  <c r="BH89" i="11"/>
  <c r="BC89" i="11" s="1"/>
  <c r="BH108" i="11"/>
  <c r="BC108" i="11" s="1"/>
  <c r="BH88" i="11"/>
  <c r="BC88" i="11" s="1"/>
  <c r="BH100" i="11"/>
  <c r="BC100" i="11" s="1"/>
  <c r="BH105" i="11"/>
  <c r="BC105" i="11" s="1"/>
  <c r="BH94" i="11"/>
  <c r="BC94" i="11" s="1"/>
  <c r="BH102" i="11"/>
  <c r="BC102" i="11" s="1"/>
  <c r="BH87" i="11"/>
  <c r="BC87" i="11" s="1"/>
  <c r="BH98" i="11"/>
  <c r="BC98" i="11" s="1"/>
  <c r="BH107" i="11"/>
  <c r="BC107" i="11" s="1"/>
  <c r="BH92" i="11"/>
  <c r="BC92" i="11" s="1"/>
  <c r="BH86" i="11"/>
  <c r="BC86" i="11" s="1"/>
  <c r="BH91" i="11"/>
  <c r="BC91" i="11" s="1"/>
  <c r="BH95" i="11"/>
  <c r="BC95" i="11" s="1"/>
  <c r="BH97" i="11"/>
  <c r="BC97" i="11" s="1"/>
  <c r="BH96" i="11"/>
  <c r="BC96" i="11" s="1"/>
  <c r="BH101" i="11"/>
  <c r="BC101" i="11" s="1"/>
  <c r="BH106" i="11"/>
  <c r="BC106" i="11" s="1"/>
  <c r="BH93" i="11"/>
  <c r="BC93" i="11" s="1"/>
  <c r="BH104" i="11"/>
  <c r="BC104" i="11" s="1"/>
  <c r="BH90" i="11"/>
  <c r="BC90" i="11" s="1"/>
  <c r="BH99" i="11"/>
  <c r="BC99" i="11" s="1"/>
  <c r="BG93" i="11"/>
  <c r="BB93" i="11" s="1"/>
  <c r="BG103" i="11"/>
  <c r="BB103" i="11" s="1"/>
  <c r="BG89" i="11"/>
  <c r="BB89" i="11" s="1"/>
  <c r="BG98" i="11"/>
  <c r="BB98" i="11" s="1"/>
  <c r="BG92" i="11"/>
  <c r="BB92" i="11" s="1"/>
  <c r="BG102" i="11"/>
  <c r="BB102" i="11" s="1"/>
  <c r="BG88" i="11"/>
  <c r="BB88" i="11" s="1"/>
  <c r="BG107" i="11"/>
  <c r="BB107" i="11" s="1"/>
  <c r="BG96" i="11"/>
  <c r="BB96" i="11" s="1"/>
  <c r="BG95" i="11"/>
  <c r="BB95" i="11" s="1"/>
  <c r="BG99" i="11"/>
  <c r="BB99" i="11" s="1"/>
  <c r="BG87" i="11"/>
  <c r="BB87" i="11" s="1"/>
  <c r="BG100" i="11"/>
  <c r="BB100" i="11" s="1"/>
  <c r="BG101" i="11"/>
  <c r="BB101" i="11" s="1"/>
  <c r="BG86" i="11"/>
  <c r="BB86" i="11" s="1"/>
  <c r="BG97" i="11"/>
  <c r="BB97" i="11" s="1"/>
  <c r="BG106" i="11"/>
  <c r="BB106" i="11" s="1"/>
  <c r="BG91" i="11"/>
  <c r="BB91" i="11" s="1"/>
  <c r="BG90" i="11"/>
  <c r="BB90" i="11" s="1"/>
  <c r="BG109" i="11"/>
  <c r="BB109" i="11" s="1"/>
  <c r="BG94" i="11"/>
  <c r="BB94" i="11" s="1"/>
  <c r="BG105" i="11"/>
  <c r="BB105" i="11" s="1"/>
  <c r="BG108" i="11"/>
  <c r="BB108" i="11" s="1"/>
  <c r="BG104" i="11"/>
  <c r="BB104" i="11" s="1"/>
  <c r="BK23" i="11"/>
  <c r="BF23" i="11" s="1"/>
  <c r="BK4" i="11"/>
  <c r="BF4" i="11" s="1"/>
  <c r="BK12" i="11"/>
  <c r="BF12" i="11" s="1"/>
  <c r="BK9" i="11"/>
  <c r="BF9" i="11" s="1"/>
  <c r="BK17" i="11"/>
  <c r="BF17" i="11" s="1"/>
  <c r="BK25" i="11"/>
  <c r="BF25" i="11" s="1"/>
  <c r="BK33" i="11"/>
  <c r="BF33" i="11" s="1"/>
  <c r="BK41" i="11"/>
  <c r="BF41" i="11" s="1"/>
  <c r="BK49" i="11"/>
  <c r="BF49" i="11" s="1"/>
  <c r="BK57" i="11"/>
  <c r="BF57" i="11" s="1"/>
  <c r="BK65" i="11"/>
  <c r="BF65" i="11" s="1"/>
  <c r="BK73" i="11"/>
  <c r="BF73" i="11" s="1"/>
  <c r="BK81" i="11"/>
  <c r="BF81" i="11" s="1"/>
  <c r="BK6" i="11"/>
  <c r="BF6" i="11" s="1"/>
  <c r="BK14" i="11"/>
  <c r="BF14" i="11" s="1"/>
  <c r="BK22" i="11"/>
  <c r="BF22" i="11" s="1"/>
  <c r="BK30" i="11"/>
  <c r="BF30" i="11" s="1"/>
  <c r="BK46" i="11"/>
  <c r="BF46" i="11" s="1"/>
  <c r="BK54" i="11"/>
  <c r="BF54" i="11" s="1"/>
  <c r="BK62" i="11"/>
  <c r="BF62" i="11" s="1"/>
  <c r="BK70" i="11"/>
  <c r="BF70" i="11" s="1"/>
  <c r="BK78" i="11"/>
  <c r="BF78" i="11" s="1"/>
  <c r="BK8" i="11"/>
  <c r="BF8" i="11" s="1"/>
  <c r="BK16" i="11"/>
  <c r="BF16" i="11" s="1"/>
  <c r="BK24" i="11"/>
  <c r="BF24" i="11" s="1"/>
  <c r="BK48" i="11"/>
  <c r="BF48" i="11" s="1"/>
  <c r="BK72" i="11"/>
  <c r="BF72" i="11" s="1"/>
  <c r="BK80" i="11"/>
  <c r="BF80" i="11" s="1"/>
  <c r="BK3" i="11"/>
  <c r="BF3" i="11" s="1"/>
  <c r="BK11" i="11"/>
  <c r="BF11" i="11" s="1"/>
  <c r="BK19" i="11"/>
  <c r="BF19" i="11" s="1"/>
  <c r="BK27" i="11"/>
  <c r="BF27" i="11" s="1"/>
  <c r="BK35" i="11"/>
  <c r="BF35" i="11" s="1"/>
  <c r="BK43" i="11"/>
  <c r="BF43" i="11" s="1"/>
  <c r="BK51" i="11"/>
  <c r="BF51" i="11" s="1"/>
  <c r="BK59" i="11"/>
  <c r="BF59" i="11" s="1"/>
  <c r="BK67" i="11"/>
  <c r="BF67" i="11" s="1"/>
  <c r="BK75" i="11"/>
  <c r="BF75" i="11" s="1"/>
  <c r="BK83" i="11"/>
  <c r="BF83" i="11" s="1"/>
  <c r="BK32" i="11"/>
  <c r="BF32" i="11" s="1"/>
  <c r="BK40" i="11"/>
  <c r="BF40" i="11" s="1"/>
  <c r="BK56" i="11"/>
  <c r="BF56" i="11" s="1"/>
  <c r="BK64" i="11"/>
  <c r="BF64" i="11" s="1"/>
  <c r="BK10" i="11"/>
  <c r="BF10" i="11" s="1"/>
  <c r="BK18" i="11"/>
  <c r="BF18" i="11" s="1"/>
  <c r="BK26" i="11"/>
  <c r="BF26" i="11" s="1"/>
  <c r="BK34" i="11"/>
  <c r="BF34" i="11" s="1"/>
  <c r="BK42" i="11"/>
  <c r="BF42" i="11" s="1"/>
  <c r="BK50" i="11"/>
  <c r="BF50" i="11" s="1"/>
  <c r="BK58" i="11"/>
  <c r="BF58" i="11" s="1"/>
  <c r="BK66" i="11"/>
  <c r="BF66" i="11" s="1"/>
  <c r="BK74" i="11"/>
  <c r="BF74" i="11" s="1"/>
  <c r="BK82" i="11"/>
  <c r="BF82" i="11" s="1"/>
  <c r="BK7" i="11"/>
  <c r="BF7" i="11" s="1"/>
  <c r="BK15" i="11"/>
  <c r="BF15" i="11" s="1"/>
  <c r="BK31" i="11"/>
  <c r="BF31" i="11" s="1"/>
  <c r="BK39" i="11"/>
  <c r="BF39" i="11" s="1"/>
  <c r="BK47" i="11"/>
  <c r="BF47" i="11" s="1"/>
  <c r="BK55" i="11"/>
  <c r="BF55" i="11" s="1"/>
  <c r="BK63" i="11"/>
  <c r="BF63" i="11" s="1"/>
  <c r="BK71" i="11"/>
  <c r="BF71" i="11" s="1"/>
  <c r="BK79" i="11"/>
  <c r="BF79" i="11" s="1"/>
  <c r="BK45" i="11"/>
  <c r="BF45" i="11" s="1"/>
  <c r="BK77" i="11"/>
  <c r="BF77" i="11" s="1"/>
  <c r="BK84" i="11"/>
  <c r="BF84" i="11" s="1"/>
  <c r="BK85" i="11"/>
  <c r="BF85" i="11" s="1"/>
  <c r="BK13" i="11"/>
  <c r="BF13" i="11" s="1"/>
  <c r="BK28" i="11"/>
  <c r="BF28" i="11" s="1"/>
  <c r="BK60" i="11"/>
  <c r="BF60" i="11" s="1"/>
  <c r="BK20" i="11"/>
  <c r="BF20" i="11" s="1"/>
  <c r="BK52" i="11"/>
  <c r="BF52" i="11" s="1"/>
  <c r="BK21" i="11"/>
  <c r="BF21" i="11" s="1"/>
  <c r="BK53" i="11"/>
  <c r="BF53" i="11" s="1"/>
  <c r="BK29" i="11"/>
  <c r="BF29" i="11" s="1"/>
  <c r="BK61" i="11"/>
  <c r="BF61" i="11" s="1"/>
  <c r="BK36" i="11"/>
  <c r="BF36" i="11" s="1"/>
  <c r="BK68" i="11"/>
  <c r="BF68" i="11" s="1"/>
  <c r="BK5" i="11"/>
  <c r="BF5" i="11" s="1"/>
  <c r="BK37" i="11"/>
  <c r="BF37" i="11" s="1"/>
  <c r="BK69" i="11"/>
  <c r="BF69" i="11" s="1"/>
  <c r="BK44" i="11"/>
  <c r="BF44" i="11" s="1"/>
  <c r="BK76" i="11"/>
  <c r="BF76" i="11" s="1"/>
  <c r="BJ20" i="11"/>
  <c r="BE20" i="11" s="1"/>
  <c r="BJ28" i="11"/>
  <c r="BE28" i="11" s="1"/>
  <c r="BJ36" i="11"/>
  <c r="BE36" i="11" s="1"/>
  <c r="BJ6" i="11"/>
  <c r="BE6" i="11" s="1"/>
  <c r="BJ14" i="11"/>
  <c r="BE14" i="11" s="1"/>
  <c r="BJ22" i="11"/>
  <c r="BE22" i="11" s="1"/>
  <c r="BJ30" i="11"/>
  <c r="BE30" i="11" s="1"/>
  <c r="BJ38" i="11"/>
  <c r="BE38" i="11" s="1"/>
  <c r="BJ46" i="11"/>
  <c r="BE46" i="11" s="1"/>
  <c r="BJ54" i="11"/>
  <c r="BE54" i="11" s="1"/>
  <c r="BJ62" i="11"/>
  <c r="BE62" i="11" s="1"/>
  <c r="BJ70" i="11"/>
  <c r="BE70" i="11" s="1"/>
  <c r="BJ78" i="11"/>
  <c r="BE78" i="11" s="1"/>
  <c r="BJ3" i="11"/>
  <c r="BE3" i="11" s="1"/>
  <c r="BJ11" i="11"/>
  <c r="BE11" i="11" s="1"/>
  <c r="BJ19" i="11"/>
  <c r="BE19" i="11" s="1"/>
  <c r="BJ27" i="11"/>
  <c r="BE27" i="11" s="1"/>
  <c r="BJ35" i="11"/>
  <c r="BE35" i="11" s="1"/>
  <c r="BJ43" i="11"/>
  <c r="BE43" i="11" s="1"/>
  <c r="BJ51" i="11"/>
  <c r="BE51" i="11" s="1"/>
  <c r="BJ59" i="11"/>
  <c r="BE59" i="11" s="1"/>
  <c r="BJ67" i="11"/>
  <c r="BE67" i="11" s="1"/>
  <c r="BJ75" i="11"/>
  <c r="BE75" i="11" s="1"/>
  <c r="BJ83" i="11"/>
  <c r="BE83" i="11" s="1"/>
  <c r="BJ13" i="11"/>
  <c r="BE13" i="11" s="1"/>
  <c r="BJ21" i="11"/>
  <c r="BE21" i="11" s="1"/>
  <c r="BJ45" i="11"/>
  <c r="BE45" i="11" s="1"/>
  <c r="BJ69" i="11"/>
  <c r="BE69" i="11" s="1"/>
  <c r="BJ77" i="11"/>
  <c r="BE77" i="11" s="1"/>
  <c r="BJ8" i="11"/>
  <c r="BE8" i="11" s="1"/>
  <c r="BJ16" i="11"/>
  <c r="BE16" i="11" s="1"/>
  <c r="BJ24" i="11"/>
  <c r="BE24" i="11" s="1"/>
  <c r="BJ32" i="11"/>
  <c r="BE32" i="11" s="1"/>
  <c r="BJ40" i="11"/>
  <c r="BE40" i="11" s="1"/>
  <c r="BJ48" i="11"/>
  <c r="BE48" i="11" s="1"/>
  <c r="BJ56" i="11"/>
  <c r="BE56" i="11" s="1"/>
  <c r="BJ64" i="11"/>
  <c r="BE64" i="11" s="1"/>
  <c r="BJ72" i="11"/>
  <c r="BE72" i="11" s="1"/>
  <c r="BJ80" i="11"/>
  <c r="BE80" i="11" s="1"/>
  <c r="BJ5" i="11"/>
  <c r="BE5" i="11" s="1"/>
  <c r="BJ29" i="11"/>
  <c r="BE29" i="11" s="1"/>
  <c r="BJ37" i="11"/>
  <c r="BE37" i="11" s="1"/>
  <c r="BJ53" i="11"/>
  <c r="BE53" i="11" s="1"/>
  <c r="BJ61" i="11"/>
  <c r="BE61" i="11" s="1"/>
  <c r="BJ85" i="11"/>
  <c r="BE85" i="11" s="1"/>
  <c r="BJ7" i="11"/>
  <c r="BE7" i="11" s="1"/>
  <c r="BJ15" i="11"/>
  <c r="BE15" i="11" s="1"/>
  <c r="BJ23" i="11"/>
  <c r="BE23" i="11" s="1"/>
  <c r="BJ31" i="11"/>
  <c r="BE31" i="11" s="1"/>
  <c r="BJ39" i="11"/>
  <c r="BE39" i="11" s="1"/>
  <c r="BJ47" i="11"/>
  <c r="BE47" i="11" s="1"/>
  <c r="BJ55" i="11"/>
  <c r="BE55" i="11" s="1"/>
  <c r="BJ63" i="11"/>
  <c r="BE63" i="11" s="1"/>
  <c r="BJ71" i="11"/>
  <c r="BE71" i="11" s="1"/>
  <c r="BJ79" i="11"/>
  <c r="BE79" i="11" s="1"/>
  <c r="BJ4" i="11"/>
  <c r="BE4" i="11" s="1"/>
  <c r="BJ12" i="11"/>
  <c r="BE12" i="11" s="1"/>
  <c r="BJ44" i="11"/>
  <c r="BE44" i="11" s="1"/>
  <c r="BJ52" i="11"/>
  <c r="BE52" i="11" s="1"/>
  <c r="BJ60" i="11"/>
  <c r="BE60" i="11" s="1"/>
  <c r="BJ68" i="11"/>
  <c r="BE68" i="11" s="1"/>
  <c r="BJ76" i="11"/>
  <c r="BE76" i="11" s="1"/>
  <c r="BJ84" i="11"/>
  <c r="BE84" i="11" s="1"/>
  <c r="BJ9" i="11"/>
  <c r="BE9" i="11" s="1"/>
  <c r="BJ26" i="11"/>
  <c r="BE26" i="11" s="1"/>
  <c r="BJ58" i="11"/>
  <c r="BE58" i="11" s="1"/>
  <c r="BJ34" i="11"/>
  <c r="BE34" i="11" s="1"/>
  <c r="BJ73" i="11"/>
  <c r="BE73" i="11" s="1"/>
  <c r="BJ10" i="11"/>
  <c r="BE10" i="11" s="1"/>
  <c r="BJ33" i="11"/>
  <c r="BE33" i="11" s="1"/>
  <c r="BJ65" i="11"/>
  <c r="BE65" i="11" s="1"/>
  <c r="BJ66" i="11"/>
  <c r="BE66" i="11" s="1"/>
  <c r="BJ41" i="11"/>
  <c r="BE41" i="11" s="1"/>
  <c r="BJ42" i="11"/>
  <c r="BE42" i="11" s="1"/>
  <c r="BJ74" i="11"/>
  <c r="BE74" i="11" s="1"/>
  <c r="BJ49" i="11"/>
  <c r="BE49" i="11" s="1"/>
  <c r="BJ81" i="11"/>
  <c r="BE81" i="11" s="1"/>
  <c r="BJ17" i="11"/>
  <c r="BE17" i="11" s="1"/>
  <c r="BJ50" i="11"/>
  <c r="BE50" i="11" s="1"/>
  <c r="BJ82" i="11"/>
  <c r="BE82" i="11" s="1"/>
  <c r="BJ18" i="11"/>
  <c r="BE18" i="11" s="1"/>
  <c r="BJ25" i="11"/>
  <c r="BE25" i="11" s="1"/>
  <c r="BJ57" i="11"/>
  <c r="BE57" i="11" s="1"/>
  <c r="BH22" i="11"/>
  <c r="BC22" i="11" s="1"/>
  <c r="BH30" i="11"/>
  <c r="BC30" i="11" s="1"/>
  <c r="BH46" i="11"/>
  <c r="BC46" i="11" s="1"/>
  <c r="BH54" i="11"/>
  <c r="BC54" i="11" s="1"/>
  <c r="BH62" i="11"/>
  <c r="BC62" i="11" s="1"/>
  <c r="BH70" i="11"/>
  <c r="BC70" i="11" s="1"/>
  <c r="BH78" i="11"/>
  <c r="BC78" i="11" s="1"/>
  <c r="BH19" i="11"/>
  <c r="BC19" i="11" s="1"/>
  <c r="BH11" i="11"/>
  <c r="BC11" i="11" s="1"/>
  <c r="BH8" i="11"/>
  <c r="BC8" i="11" s="1"/>
  <c r="BH16" i="11"/>
  <c r="BC16" i="11" s="1"/>
  <c r="BH24" i="11"/>
  <c r="BC24" i="11" s="1"/>
  <c r="BH32" i="11"/>
  <c r="BC32" i="11" s="1"/>
  <c r="BH40" i="11"/>
  <c r="BC40" i="11" s="1"/>
  <c r="BH48" i="11"/>
  <c r="BC48" i="11" s="1"/>
  <c r="BH56" i="11"/>
  <c r="BC56" i="11" s="1"/>
  <c r="BH64" i="11"/>
  <c r="BC64" i="11" s="1"/>
  <c r="BH72" i="11"/>
  <c r="BC72" i="11" s="1"/>
  <c r="BH80" i="11"/>
  <c r="BC80" i="11" s="1"/>
  <c r="BH5" i="11"/>
  <c r="BC5" i="11" s="1"/>
  <c r="BH13" i="11"/>
  <c r="BC13" i="11" s="1"/>
  <c r="BH21" i="11"/>
  <c r="BC21" i="11" s="1"/>
  <c r="BH29" i="11"/>
  <c r="BC29" i="11" s="1"/>
  <c r="BH37" i="11"/>
  <c r="BC37" i="11" s="1"/>
  <c r="BH45" i="11"/>
  <c r="BC45" i="11" s="1"/>
  <c r="BH53" i="11"/>
  <c r="BC53" i="11" s="1"/>
  <c r="BH61" i="11"/>
  <c r="BC61" i="11" s="1"/>
  <c r="BH69" i="11"/>
  <c r="BC69" i="11" s="1"/>
  <c r="BH77" i="11"/>
  <c r="BC77" i="11" s="1"/>
  <c r="BH85" i="11"/>
  <c r="BC85" i="11" s="1"/>
  <c r="BH7" i="11"/>
  <c r="BC7" i="11" s="1"/>
  <c r="BH31" i="11"/>
  <c r="BC31" i="11" s="1"/>
  <c r="BH39" i="11"/>
  <c r="BC39" i="11" s="1"/>
  <c r="BH55" i="11"/>
  <c r="BC55" i="11" s="1"/>
  <c r="BH63" i="11"/>
  <c r="BC63" i="11" s="1"/>
  <c r="BH10" i="11"/>
  <c r="BC10" i="11" s="1"/>
  <c r="BH18" i="11"/>
  <c r="BC18" i="11" s="1"/>
  <c r="BH26" i="11"/>
  <c r="BC26" i="11" s="1"/>
  <c r="BH34" i="11"/>
  <c r="BC34" i="11" s="1"/>
  <c r="BH42" i="11"/>
  <c r="BC42" i="11" s="1"/>
  <c r="BH50" i="11"/>
  <c r="BC50" i="11" s="1"/>
  <c r="BH58" i="11"/>
  <c r="BC58" i="11" s="1"/>
  <c r="BH66" i="11"/>
  <c r="BC66" i="11" s="1"/>
  <c r="BH74" i="11"/>
  <c r="BC74" i="11" s="1"/>
  <c r="BH82" i="11"/>
  <c r="BC82" i="11" s="1"/>
  <c r="BH15" i="11"/>
  <c r="BC15" i="11" s="1"/>
  <c r="BH23" i="11"/>
  <c r="BC23" i="11" s="1"/>
  <c r="BH47" i="11"/>
  <c r="BC47" i="11" s="1"/>
  <c r="BH71" i="11"/>
  <c r="BC71" i="11" s="1"/>
  <c r="BH79" i="11"/>
  <c r="BC79" i="11" s="1"/>
  <c r="BH9" i="11"/>
  <c r="BC9" i="11" s="1"/>
  <c r="BH17" i="11"/>
  <c r="BC17" i="11" s="1"/>
  <c r="BH25" i="11"/>
  <c r="BC25" i="11" s="1"/>
  <c r="BH33" i="11"/>
  <c r="BC33" i="11" s="1"/>
  <c r="BH41" i="11"/>
  <c r="BC41" i="11" s="1"/>
  <c r="BH49" i="11"/>
  <c r="BC49" i="11" s="1"/>
  <c r="BH57" i="11"/>
  <c r="BC57" i="11" s="1"/>
  <c r="BH65" i="11"/>
  <c r="BC65" i="11" s="1"/>
  <c r="BH73" i="11"/>
  <c r="BC73" i="11" s="1"/>
  <c r="BH81" i="11"/>
  <c r="BC81" i="11" s="1"/>
  <c r="BH6" i="11"/>
  <c r="BC6" i="11" s="1"/>
  <c r="BH14" i="11"/>
  <c r="BC14" i="11" s="1"/>
  <c r="BH38" i="11"/>
  <c r="BC38" i="11" s="1"/>
  <c r="BH3" i="11"/>
  <c r="BC3" i="11" s="1"/>
  <c r="BH20" i="11"/>
  <c r="BC20" i="11" s="1"/>
  <c r="BH52" i="11"/>
  <c r="BC52" i="11" s="1"/>
  <c r="BH84" i="11"/>
  <c r="BC84" i="11" s="1"/>
  <c r="BH12" i="11"/>
  <c r="BC12" i="11" s="1"/>
  <c r="BH28" i="11"/>
  <c r="BC28" i="11" s="1"/>
  <c r="BH60" i="11"/>
  <c r="BC60" i="11" s="1"/>
  <c r="BH35" i="11"/>
  <c r="BC35" i="11" s="1"/>
  <c r="BH51" i="11"/>
  <c r="BC51" i="11" s="1"/>
  <c r="BH27" i="11"/>
  <c r="BC27" i="11" s="1"/>
  <c r="BH59" i="11"/>
  <c r="BC59" i="11" s="1"/>
  <c r="BH67" i="11"/>
  <c r="BC67" i="11" s="1"/>
  <c r="BH36" i="11"/>
  <c r="BC36" i="11" s="1"/>
  <c r="BH68" i="11"/>
  <c r="BC68" i="11" s="1"/>
  <c r="BH4" i="11"/>
  <c r="BC4" i="11" s="1"/>
  <c r="BH43" i="11"/>
  <c r="BC43" i="11" s="1"/>
  <c r="BH75" i="11"/>
  <c r="BC75" i="11" s="1"/>
  <c r="BH44" i="11"/>
  <c r="BC44" i="11" s="1"/>
  <c r="BH76" i="11"/>
  <c r="BC76" i="11" s="1"/>
  <c r="BH83" i="11"/>
  <c r="BC83" i="11" s="1"/>
  <c r="BK2" i="11"/>
  <c r="BF2" i="11" s="1"/>
  <c r="BJ2" i="11"/>
  <c r="BE2" i="11" s="1"/>
  <c r="BH2" i="11"/>
  <c r="BC2" i="11" s="1"/>
  <c r="Q25" i="10"/>
  <c r="P25" i="10"/>
  <c r="O25" i="10"/>
  <c r="N25" i="10"/>
  <c r="M25" i="10"/>
  <c r="L42" i="10"/>
  <c r="L40" i="10"/>
  <c r="L38" i="10"/>
  <c r="L36" i="10"/>
  <c r="L34" i="10"/>
  <c r="CP25" i="27" l="1"/>
  <c r="CQ25" i="27" s="1"/>
  <c r="CK26" i="27"/>
  <c r="CO25" i="27"/>
  <c r="CN25" i="27"/>
  <c r="N23" i="27"/>
  <c r="AS24" i="27"/>
  <c r="AT24" i="27"/>
  <c r="AU24" i="27"/>
  <c r="AV24" i="27"/>
  <c r="AW24" i="27"/>
  <c r="AX24" i="27" s="1"/>
  <c r="N24" i="27" s="1"/>
  <c r="AR24" i="27"/>
  <c r="P42" i="10"/>
  <c r="P43" i="10" s="1"/>
  <c r="Q42" i="10"/>
  <c r="Q43" i="10" s="1"/>
  <c r="O42" i="10"/>
  <c r="O43" i="10" s="1"/>
  <c r="R42" i="10"/>
  <c r="R43" i="10" s="1"/>
  <c r="M42" i="10"/>
  <c r="M43" i="10" s="1"/>
  <c r="N42" i="10"/>
  <c r="N43" i="10" s="1"/>
  <c r="R36" i="10"/>
  <c r="R37" i="10" s="1"/>
  <c r="P36" i="10"/>
  <c r="P37" i="10" s="1"/>
  <c r="N36" i="10"/>
  <c r="N37" i="10" s="1"/>
  <c r="O36" i="10"/>
  <c r="O37" i="10" s="1"/>
  <c r="M36" i="10"/>
  <c r="M37" i="10" s="1"/>
  <c r="Q36" i="10"/>
  <c r="Q37" i="10" s="1"/>
  <c r="M38" i="10"/>
  <c r="M39" i="10" s="1"/>
  <c r="R38" i="10"/>
  <c r="R39" i="10" s="1"/>
  <c r="N38" i="10"/>
  <c r="N39" i="10" s="1"/>
  <c r="P38" i="10"/>
  <c r="P39" i="10" s="1"/>
  <c r="O38" i="10"/>
  <c r="O39" i="10" s="1"/>
  <c r="Q38" i="10"/>
  <c r="Q39" i="10" s="1"/>
  <c r="O34" i="10"/>
  <c r="O35" i="10" s="1"/>
  <c r="N34" i="10"/>
  <c r="N35" i="10" s="1"/>
  <c r="M34" i="10"/>
  <c r="M35" i="10" s="1"/>
  <c r="Q34" i="10"/>
  <c r="Q35" i="10" s="1"/>
  <c r="R34" i="10"/>
  <c r="R35" i="10" s="1"/>
  <c r="P34" i="10"/>
  <c r="P35" i="10" s="1"/>
  <c r="P40" i="10"/>
  <c r="P41" i="10" s="1"/>
  <c r="M40" i="10"/>
  <c r="M41" i="10" s="1"/>
  <c r="Q40" i="10"/>
  <c r="Q41" i="10" s="1"/>
  <c r="R40" i="10"/>
  <c r="R41" i="10" s="1"/>
  <c r="N40" i="10"/>
  <c r="N41" i="10" s="1"/>
  <c r="O40" i="10"/>
  <c r="O41" i="10" s="1"/>
  <c r="L27" i="10"/>
  <c r="M27" i="10" s="1"/>
  <c r="L28" i="10"/>
  <c r="L29" i="10"/>
  <c r="L30" i="10"/>
  <c r="L26" i="10"/>
  <c r="Q10" i="10"/>
  <c r="Q13" i="10" s="1"/>
  <c r="P10" i="10"/>
  <c r="P15" i="10" s="1"/>
  <c r="P16" i="10" s="1"/>
  <c r="O10" i="10"/>
  <c r="O15" i="10" s="1"/>
  <c r="O16" i="10" s="1"/>
  <c r="N10" i="10"/>
  <c r="N13" i="10" s="1"/>
  <c r="M10" i="10"/>
  <c r="CP26" i="27" l="1"/>
  <c r="CQ26" i="27" s="1"/>
  <c r="CK27" i="27"/>
  <c r="CN26" i="27"/>
  <c r="CO26" i="27"/>
  <c r="AV25" i="27"/>
  <c r="AU25" i="27"/>
  <c r="AT25" i="27"/>
  <c r="AW25" i="27"/>
  <c r="AX25" i="27" s="1"/>
  <c r="AR25" i="27"/>
  <c r="AS25" i="27"/>
  <c r="AB98" i="11"/>
  <c r="W98" i="11" s="1"/>
  <c r="AB102" i="11"/>
  <c r="W102" i="11" s="1"/>
  <c r="AB57" i="11"/>
  <c r="W57" i="11" s="1"/>
  <c r="AB12" i="11"/>
  <c r="W12" i="11" s="1"/>
  <c r="AB50" i="11"/>
  <c r="W50" i="11" s="1"/>
  <c r="AB5" i="11"/>
  <c r="W5" i="11" s="1"/>
  <c r="AB43" i="11"/>
  <c r="W43" i="11" s="1"/>
  <c r="AB2" i="11"/>
  <c r="W2" i="11" s="1"/>
  <c r="AB73" i="11"/>
  <c r="W73" i="11" s="1"/>
  <c r="AB28" i="11"/>
  <c r="W28" i="11" s="1"/>
  <c r="AB66" i="11"/>
  <c r="W66" i="11" s="1"/>
  <c r="AB21" i="11"/>
  <c r="W21" i="11" s="1"/>
  <c r="AB59" i="11"/>
  <c r="W59" i="11" s="1"/>
  <c r="AB14" i="11"/>
  <c r="W14" i="11" s="1"/>
  <c r="AB107" i="11"/>
  <c r="W107" i="11" s="1"/>
  <c r="AB86" i="11"/>
  <c r="W86" i="11" s="1"/>
  <c r="AB41" i="11"/>
  <c r="W41" i="11" s="1"/>
  <c r="AB79" i="11"/>
  <c r="W79" i="11" s="1"/>
  <c r="AB34" i="11"/>
  <c r="W34" i="11" s="1"/>
  <c r="AB72" i="11"/>
  <c r="W72" i="11" s="1"/>
  <c r="AB27" i="11"/>
  <c r="W27" i="11" s="1"/>
  <c r="AB99" i="11"/>
  <c r="W99" i="11" s="1"/>
  <c r="AB25" i="11"/>
  <c r="W25" i="11" s="1"/>
  <c r="AB63" i="11"/>
  <c r="W63" i="11" s="1"/>
  <c r="AB18" i="11"/>
  <c r="W18" i="11" s="1"/>
  <c r="AB56" i="11"/>
  <c r="W56" i="11" s="1"/>
  <c r="AB11" i="11"/>
  <c r="W11" i="11" s="1"/>
  <c r="AB95" i="11"/>
  <c r="W95" i="11" s="1"/>
  <c r="AB9" i="11"/>
  <c r="W9" i="11" s="1"/>
  <c r="AB47" i="11"/>
  <c r="W47" i="11" s="1"/>
  <c r="AB85" i="11"/>
  <c r="W85" i="11" s="1"/>
  <c r="AB40" i="11"/>
  <c r="W40" i="11" s="1"/>
  <c r="AB78" i="11"/>
  <c r="W78" i="11" s="1"/>
  <c r="AB91" i="11"/>
  <c r="W91" i="11" s="1"/>
  <c r="AB76" i="11"/>
  <c r="W76" i="11" s="1"/>
  <c r="AB31" i="11"/>
  <c r="W31" i="11" s="1"/>
  <c r="AB69" i="11"/>
  <c r="W69" i="11" s="1"/>
  <c r="AB24" i="11"/>
  <c r="W24" i="11" s="1"/>
  <c r="AB62" i="11"/>
  <c r="W62" i="11" s="1"/>
  <c r="AB87" i="11"/>
  <c r="W87" i="11" s="1"/>
  <c r="AB60" i="11"/>
  <c r="W60" i="11" s="1"/>
  <c r="AB15" i="11"/>
  <c r="W15" i="11" s="1"/>
  <c r="AB53" i="11"/>
  <c r="W53" i="11" s="1"/>
  <c r="AB8" i="11"/>
  <c r="W8" i="11" s="1"/>
  <c r="AB46" i="11"/>
  <c r="W46" i="11" s="1"/>
  <c r="AB109" i="11"/>
  <c r="W109" i="11" s="1"/>
  <c r="AB94" i="11"/>
  <c r="W94" i="11" s="1"/>
  <c r="AB44" i="11"/>
  <c r="W44" i="11" s="1"/>
  <c r="AB82" i="11"/>
  <c r="W82" i="11" s="1"/>
  <c r="AB37" i="11"/>
  <c r="W37" i="11" s="1"/>
  <c r="AB75" i="11"/>
  <c r="W75" i="11" s="1"/>
  <c r="AB30" i="11"/>
  <c r="W30" i="11" s="1"/>
  <c r="AB108" i="11"/>
  <c r="W108" i="11" s="1"/>
  <c r="AB90" i="11"/>
  <c r="W90" i="11" s="1"/>
  <c r="AB81" i="11"/>
  <c r="W81" i="11" s="1"/>
  <c r="AB49" i="11"/>
  <c r="W49" i="11" s="1"/>
  <c r="AB17" i="11"/>
  <c r="W17" i="11" s="1"/>
  <c r="AB68" i="11"/>
  <c r="W68" i="11" s="1"/>
  <c r="AB36" i="11"/>
  <c r="W36" i="11" s="1"/>
  <c r="AB4" i="11"/>
  <c r="W4" i="11" s="1"/>
  <c r="AB55" i="11"/>
  <c r="W55" i="11" s="1"/>
  <c r="AB23" i="11"/>
  <c r="W23" i="11" s="1"/>
  <c r="AB74" i="11"/>
  <c r="W74" i="11" s="1"/>
  <c r="AB42" i="11"/>
  <c r="W42" i="11" s="1"/>
  <c r="AB10" i="11"/>
  <c r="W10" i="11" s="1"/>
  <c r="AB61" i="11"/>
  <c r="W61" i="11" s="1"/>
  <c r="AB29" i="11"/>
  <c r="W29" i="11" s="1"/>
  <c r="AB80" i="11"/>
  <c r="W80" i="11" s="1"/>
  <c r="AB48" i="11"/>
  <c r="W48" i="11" s="1"/>
  <c r="AB16" i="11"/>
  <c r="W16" i="11" s="1"/>
  <c r="AB67" i="11"/>
  <c r="W67" i="11" s="1"/>
  <c r="AB35" i="11"/>
  <c r="W35" i="11" s="1"/>
  <c r="AB3" i="11"/>
  <c r="W3" i="11" s="1"/>
  <c r="AB54" i="11"/>
  <c r="W54" i="11" s="1"/>
  <c r="AB22" i="11"/>
  <c r="W22" i="11" s="1"/>
  <c r="AB100" i="11"/>
  <c r="W100" i="11" s="1"/>
  <c r="AB96" i="11"/>
  <c r="W96" i="11" s="1"/>
  <c r="AB105" i="11"/>
  <c r="W105" i="11" s="1"/>
  <c r="AB93" i="11"/>
  <c r="W93" i="11" s="1"/>
  <c r="AB104" i="11"/>
  <c r="W104" i="11" s="1"/>
  <c r="AB88" i="11"/>
  <c r="W88" i="11" s="1"/>
  <c r="AB65" i="11"/>
  <c r="W65" i="11" s="1"/>
  <c r="AB33" i="11"/>
  <c r="W33" i="11" s="1"/>
  <c r="AB84" i="11"/>
  <c r="W84" i="11" s="1"/>
  <c r="AB52" i="11"/>
  <c r="W52" i="11" s="1"/>
  <c r="AB20" i="11"/>
  <c r="W20" i="11" s="1"/>
  <c r="AB71" i="11"/>
  <c r="W71" i="11" s="1"/>
  <c r="AB39" i="11"/>
  <c r="W39" i="11" s="1"/>
  <c r="AB7" i="11"/>
  <c r="W7" i="11" s="1"/>
  <c r="AB58" i="11"/>
  <c r="W58" i="11" s="1"/>
  <c r="AB26" i="11"/>
  <c r="W26" i="11" s="1"/>
  <c r="AB77" i="11"/>
  <c r="W77" i="11" s="1"/>
  <c r="AB45" i="11"/>
  <c r="W45" i="11" s="1"/>
  <c r="AB13" i="11"/>
  <c r="W13" i="11" s="1"/>
  <c r="AB64" i="11"/>
  <c r="W64" i="11" s="1"/>
  <c r="AB32" i="11"/>
  <c r="W32" i="11" s="1"/>
  <c r="AB83" i="11"/>
  <c r="W83" i="11" s="1"/>
  <c r="AB51" i="11"/>
  <c r="W51" i="11" s="1"/>
  <c r="AB19" i="11"/>
  <c r="W19" i="11" s="1"/>
  <c r="AB70" i="11"/>
  <c r="W70" i="11" s="1"/>
  <c r="AB38" i="11"/>
  <c r="W38" i="11" s="1"/>
  <c r="AB6" i="11"/>
  <c r="W6" i="11" s="1"/>
  <c r="AB101" i="11"/>
  <c r="W101" i="11" s="1"/>
  <c r="AB103" i="11"/>
  <c r="W103" i="11" s="1"/>
  <c r="AB97" i="11"/>
  <c r="W97" i="11" s="1"/>
  <c r="AB89" i="11"/>
  <c r="W89" i="11" s="1"/>
  <c r="AB92" i="11"/>
  <c r="W92" i="11" s="1"/>
  <c r="AB106" i="11"/>
  <c r="W106" i="11" s="1"/>
  <c r="AD42" i="11"/>
  <c r="Y42" i="11" s="1"/>
  <c r="AD35" i="11"/>
  <c r="Y35" i="11" s="1"/>
  <c r="AD28" i="11"/>
  <c r="Y28" i="11" s="1"/>
  <c r="AD10" i="11"/>
  <c r="Y10" i="11" s="1"/>
  <c r="AD3" i="11"/>
  <c r="Y3" i="11" s="1"/>
  <c r="AD2" i="11"/>
  <c r="Y2" i="11" s="1"/>
  <c r="AD61" i="11"/>
  <c r="Y61" i="11" s="1"/>
  <c r="AD54" i="11"/>
  <c r="Y54" i="11" s="1"/>
  <c r="AD106" i="11"/>
  <c r="Y106" i="11" s="1"/>
  <c r="AD29" i="11"/>
  <c r="Y29" i="11" s="1"/>
  <c r="AD22" i="11"/>
  <c r="Y22" i="11" s="1"/>
  <c r="AD98" i="11"/>
  <c r="Y98" i="11" s="1"/>
  <c r="AD80" i="11"/>
  <c r="Y80" i="11" s="1"/>
  <c r="AD73" i="11"/>
  <c r="Y73" i="11" s="1"/>
  <c r="AD90" i="11"/>
  <c r="Y90" i="11" s="1"/>
  <c r="AD55" i="11"/>
  <c r="Y55" i="11" s="1"/>
  <c r="AD48" i="11"/>
  <c r="Y48" i="11" s="1"/>
  <c r="AD41" i="11"/>
  <c r="Y41" i="11" s="1"/>
  <c r="AD99" i="11"/>
  <c r="Y99" i="11" s="1"/>
  <c r="AD23" i="11"/>
  <c r="Y23" i="11" s="1"/>
  <c r="AD16" i="11"/>
  <c r="Y16" i="11" s="1"/>
  <c r="AD9" i="11"/>
  <c r="Y9" i="11" s="1"/>
  <c r="AD91" i="11"/>
  <c r="Y91" i="11" s="1"/>
  <c r="AD74" i="11"/>
  <c r="Y74" i="11" s="1"/>
  <c r="AD67" i="11"/>
  <c r="Y67" i="11" s="1"/>
  <c r="AD60" i="11"/>
  <c r="Y60" i="11" s="1"/>
  <c r="AD107" i="11"/>
  <c r="Y107" i="11" s="1"/>
  <c r="AC63" i="11"/>
  <c r="X63" i="11" s="1"/>
  <c r="AC56" i="11"/>
  <c r="X56" i="11" s="1"/>
  <c r="AC49" i="11"/>
  <c r="X49" i="11" s="1"/>
  <c r="AC18" i="11"/>
  <c r="X18" i="11" s="1"/>
  <c r="AC11" i="11"/>
  <c r="X11" i="11" s="1"/>
  <c r="AD71" i="11"/>
  <c r="Y71" i="11" s="1"/>
  <c r="AD39" i="11"/>
  <c r="Y39" i="11" s="1"/>
  <c r="AD7" i="11"/>
  <c r="Y7" i="11" s="1"/>
  <c r="AD58" i="11"/>
  <c r="Y58" i="11" s="1"/>
  <c r="AD26" i="11"/>
  <c r="Y26" i="11" s="1"/>
  <c r="AD77" i="11"/>
  <c r="Y77" i="11" s="1"/>
  <c r="AD45" i="11"/>
  <c r="Y45" i="11" s="1"/>
  <c r="AD13" i="11"/>
  <c r="Y13" i="11" s="1"/>
  <c r="AD64" i="11"/>
  <c r="Y64" i="11" s="1"/>
  <c r="AD32" i="11"/>
  <c r="Y32" i="11" s="1"/>
  <c r="AD83" i="11"/>
  <c r="Y83" i="11" s="1"/>
  <c r="AD51" i="11"/>
  <c r="Y51" i="11" s="1"/>
  <c r="AD19" i="11"/>
  <c r="Y19" i="11" s="1"/>
  <c r="AD70" i="11"/>
  <c r="Y70" i="11" s="1"/>
  <c r="AD38" i="11"/>
  <c r="Y38" i="11" s="1"/>
  <c r="AD6" i="11"/>
  <c r="Y6" i="11" s="1"/>
  <c r="AD57" i="11"/>
  <c r="Y57" i="11" s="1"/>
  <c r="AD25" i="11"/>
  <c r="Y25" i="11" s="1"/>
  <c r="AD76" i="11"/>
  <c r="Y76" i="11" s="1"/>
  <c r="AD44" i="11"/>
  <c r="Y44" i="11" s="1"/>
  <c r="AD12" i="11"/>
  <c r="Y12" i="11" s="1"/>
  <c r="AD101" i="11"/>
  <c r="Y101" i="11" s="1"/>
  <c r="AD102" i="11"/>
  <c r="Y102" i="11" s="1"/>
  <c r="AD94" i="11"/>
  <c r="Y94" i="11" s="1"/>
  <c r="AD86" i="11"/>
  <c r="Y86" i="11" s="1"/>
  <c r="AD95" i="11"/>
  <c r="Y95" i="11" s="1"/>
  <c r="AD87" i="11"/>
  <c r="Y87" i="11" s="1"/>
  <c r="AC90" i="11"/>
  <c r="X90" i="11" s="1"/>
  <c r="AC44" i="11"/>
  <c r="X44" i="11" s="1"/>
  <c r="AC37" i="11"/>
  <c r="X37" i="11" s="1"/>
  <c r="AC30" i="11"/>
  <c r="X30" i="11" s="1"/>
  <c r="AD63" i="11"/>
  <c r="Y63" i="11" s="1"/>
  <c r="AD31" i="11"/>
  <c r="Y31" i="11" s="1"/>
  <c r="AD82" i="11"/>
  <c r="Y82" i="11" s="1"/>
  <c r="AD50" i="11"/>
  <c r="Y50" i="11" s="1"/>
  <c r="AD18" i="11"/>
  <c r="Y18" i="11" s="1"/>
  <c r="AD69" i="11"/>
  <c r="Y69" i="11" s="1"/>
  <c r="AD37" i="11"/>
  <c r="Y37" i="11" s="1"/>
  <c r="AD5" i="11"/>
  <c r="Y5" i="11" s="1"/>
  <c r="AD56" i="11"/>
  <c r="Y56" i="11" s="1"/>
  <c r="AD24" i="11"/>
  <c r="Y24" i="11" s="1"/>
  <c r="AD75" i="11"/>
  <c r="Y75" i="11" s="1"/>
  <c r="AD43" i="11"/>
  <c r="Y43" i="11" s="1"/>
  <c r="AD11" i="11"/>
  <c r="Y11" i="11" s="1"/>
  <c r="AD62" i="11"/>
  <c r="Y62" i="11" s="1"/>
  <c r="AD30" i="11"/>
  <c r="Y30" i="11" s="1"/>
  <c r="AD81" i="11"/>
  <c r="Y81" i="11" s="1"/>
  <c r="AD49" i="11"/>
  <c r="Y49" i="11" s="1"/>
  <c r="AD17" i="11"/>
  <c r="Y17" i="11" s="1"/>
  <c r="AD68" i="11"/>
  <c r="Y68" i="11" s="1"/>
  <c r="AD36" i="11"/>
  <c r="Y36" i="11" s="1"/>
  <c r="AD4" i="11"/>
  <c r="Y4" i="11" s="1"/>
  <c r="AD108" i="11"/>
  <c r="Y108" i="11" s="1"/>
  <c r="AD100" i="11"/>
  <c r="Y100" i="11" s="1"/>
  <c r="AD92" i="11"/>
  <c r="Y92" i="11" s="1"/>
  <c r="AD105" i="11"/>
  <c r="Y105" i="11" s="1"/>
  <c r="AD93" i="11"/>
  <c r="Y93" i="11" s="1"/>
  <c r="AD109" i="11"/>
  <c r="Y109" i="11" s="1"/>
  <c r="AC87" i="11"/>
  <c r="X87" i="11" s="1"/>
  <c r="AC82" i="11"/>
  <c r="X82" i="11" s="1"/>
  <c r="AC75" i="11"/>
  <c r="X75" i="11" s="1"/>
  <c r="AD79" i="11"/>
  <c r="Y79" i="11" s="1"/>
  <c r="AD47" i="11"/>
  <c r="Y47" i="11" s="1"/>
  <c r="AD15" i="11"/>
  <c r="Y15" i="11" s="1"/>
  <c r="AD66" i="11"/>
  <c r="Y66" i="11" s="1"/>
  <c r="AD34" i="11"/>
  <c r="Y34" i="11" s="1"/>
  <c r="AD85" i="11"/>
  <c r="Y85" i="11" s="1"/>
  <c r="AD53" i="11"/>
  <c r="Y53" i="11" s="1"/>
  <c r="AD21" i="11"/>
  <c r="Y21" i="11" s="1"/>
  <c r="AD72" i="11"/>
  <c r="Y72" i="11" s="1"/>
  <c r="AD40" i="11"/>
  <c r="Y40" i="11" s="1"/>
  <c r="AD8" i="11"/>
  <c r="Y8" i="11" s="1"/>
  <c r="AD59" i="11"/>
  <c r="Y59" i="11" s="1"/>
  <c r="AD27" i="11"/>
  <c r="Y27" i="11" s="1"/>
  <c r="AD78" i="11"/>
  <c r="Y78" i="11" s="1"/>
  <c r="AD46" i="11"/>
  <c r="Y46" i="11" s="1"/>
  <c r="AD14" i="11"/>
  <c r="Y14" i="11" s="1"/>
  <c r="AD65" i="11"/>
  <c r="Y65" i="11" s="1"/>
  <c r="AD33" i="11"/>
  <c r="Y33" i="11" s="1"/>
  <c r="AD84" i="11"/>
  <c r="Y84" i="11" s="1"/>
  <c r="AD52" i="11"/>
  <c r="Y52" i="11" s="1"/>
  <c r="AD20" i="11"/>
  <c r="Y20" i="11" s="1"/>
  <c r="AD103" i="11"/>
  <c r="Y103" i="11" s="1"/>
  <c r="AD104" i="11"/>
  <c r="Y104" i="11" s="1"/>
  <c r="AD96" i="11"/>
  <c r="Y96" i="11" s="1"/>
  <c r="AD88" i="11"/>
  <c r="Y88" i="11" s="1"/>
  <c r="AD97" i="11"/>
  <c r="Y97" i="11" s="1"/>
  <c r="AD89" i="11"/>
  <c r="Y89" i="11" s="1"/>
  <c r="AC106" i="11"/>
  <c r="X106" i="11" s="1"/>
  <c r="AE53" i="11"/>
  <c r="Z53" i="11" s="1"/>
  <c r="AE46" i="11"/>
  <c r="Z46" i="11" s="1"/>
  <c r="AE39" i="11"/>
  <c r="Z39" i="11" s="1"/>
  <c r="AC36" i="11"/>
  <c r="X36" i="11" s="1"/>
  <c r="AC55" i="11"/>
  <c r="X55" i="11" s="1"/>
  <c r="AC74" i="11"/>
  <c r="X74" i="11" s="1"/>
  <c r="AC10" i="11"/>
  <c r="X10" i="11" s="1"/>
  <c r="AC29" i="11"/>
  <c r="X29" i="11" s="1"/>
  <c r="AC48" i="11"/>
  <c r="X48" i="11" s="1"/>
  <c r="AC67" i="11"/>
  <c r="X67" i="11" s="1"/>
  <c r="AC3" i="11"/>
  <c r="X3" i="11" s="1"/>
  <c r="AC22" i="11"/>
  <c r="X22" i="11" s="1"/>
  <c r="AC41" i="11"/>
  <c r="X41" i="11" s="1"/>
  <c r="AC109" i="11"/>
  <c r="X109" i="11" s="1"/>
  <c r="AC104" i="11"/>
  <c r="X104" i="11" s="1"/>
  <c r="AC88" i="11"/>
  <c r="X88" i="11" s="1"/>
  <c r="AE45" i="11"/>
  <c r="Z45" i="11" s="1"/>
  <c r="AE38" i="11"/>
  <c r="Z38" i="11" s="1"/>
  <c r="AE31" i="11"/>
  <c r="Z31" i="11" s="1"/>
  <c r="AC28" i="11"/>
  <c r="X28" i="11" s="1"/>
  <c r="AC47" i="11"/>
  <c r="X47" i="11" s="1"/>
  <c r="AC66" i="11"/>
  <c r="X66" i="11" s="1"/>
  <c r="AC85" i="11"/>
  <c r="X85" i="11" s="1"/>
  <c r="AC21" i="11"/>
  <c r="X21" i="11" s="1"/>
  <c r="AC40" i="11"/>
  <c r="X40" i="11" s="1"/>
  <c r="AC59" i="11"/>
  <c r="X59" i="11" s="1"/>
  <c r="AC78" i="11"/>
  <c r="X78" i="11" s="1"/>
  <c r="AC14" i="11"/>
  <c r="X14" i="11" s="1"/>
  <c r="AC33" i="11"/>
  <c r="X33" i="11" s="1"/>
  <c r="AC103" i="11"/>
  <c r="X103" i="11" s="1"/>
  <c r="AC102" i="11"/>
  <c r="X102" i="11" s="1"/>
  <c r="AC86" i="11"/>
  <c r="X86" i="11" s="1"/>
  <c r="AE72" i="11"/>
  <c r="Z72" i="11" s="1"/>
  <c r="AE65" i="11"/>
  <c r="Z65" i="11" s="1"/>
  <c r="AC84" i="11"/>
  <c r="X84" i="11" s="1"/>
  <c r="AC20" i="11"/>
  <c r="X20" i="11" s="1"/>
  <c r="AC39" i="11"/>
  <c r="X39" i="11" s="1"/>
  <c r="AC58" i="11"/>
  <c r="X58" i="11" s="1"/>
  <c r="AC77" i="11"/>
  <c r="X77" i="11" s="1"/>
  <c r="AC13" i="11"/>
  <c r="X13" i="11" s="1"/>
  <c r="AC32" i="11"/>
  <c r="X32" i="11" s="1"/>
  <c r="AC51" i="11"/>
  <c r="X51" i="11" s="1"/>
  <c r="AC70" i="11"/>
  <c r="X70" i="11" s="1"/>
  <c r="AC6" i="11"/>
  <c r="X6" i="11" s="1"/>
  <c r="AC25" i="11"/>
  <c r="X25" i="11" s="1"/>
  <c r="AE107" i="11"/>
  <c r="Z107" i="11" s="1"/>
  <c r="AC95" i="11"/>
  <c r="X95" i="11" s="1"/>
  <c r="AC100" i="11"/>
  <c r="X100" i="11" s="1"/>
  <c r="AC105" i="11"/>
  <c r="X105" i="11" s="1"/>
  <c r="AE26" i="11"/>
  <c r="Z26" i="11" s="1"/>
  <c r="AE12" i="11"/>
  <c r="Z12" i="11" s="1"/>
  <c r="AE103" i="11"/>
  <c r="Z103" i="11" s="1"/>
  <c r="AE19" i="11"/>
  <c r="Z19" i="11" s="1"/>
  <c r="AE57" i="11"/>
  <c r="Z57" i="11" s="1"/>
  <c r="AC12" i="11"/>
  <c r="X12" i="11" s="1"/>
  <c r="AC50" i="11"/>
  <c r="X50" i="11" s="1"/>
  <c r="AC5" i="11"/>
  <c r="X5" i="11" s="1"/>
  <c r="AC24" i="11"/>
  <c r="X24" i="11" s="1"/>
  <c r="AC62" i="11"/>
  <c r="X62" i="11" s="1"/>
  <c r="AC81" i="11"/>
  <c r="X81" i="11" s="1"/>
  <c r="AC17" i="11"/>
  <c r="X17" i="11" s="1"/>
  <c r="AC98" i="11"/>
  <c r="X98" i="11" s="1"/>
  <c r="AE84" i="11"/>
  <c r="Z84" i="11" s="1"/>
  <c r="AC23" i="11"/>
  <c r="X23" i="11" s="1"/>
  <c r="AC61" i="11"/>
  <c r="X61" i="11" s="1"/>
  <c r="AC16" i="11"/>
  <c r="X16" i="11" s="1"/>
  <c r="AC54" i="11"/>
  <c r="X54" i="11" s="1"/>
  <c r="AC9" i="11"/>
  <c r="X9" i="11" s="1"/>
  <c r="AE109" i="11"/>
  <c r="Z109" i="11" s="1"/>
  <c r="AC101" i="11"/>
  <c r="X101" i="11" s="1"/>
  <c r="AC93" i="11"/>
  <c r="X93" i="11" s="1"/>
  <c r="AE83" i="11"/>
  <c r="Z83" i="11" s="1"/>
  <c r="AC15" i="11"/>
  <c r="X15" i="11" s="1"/>
  <c r="AC27" i="11"/>
  <c r="X27" i="11" s="1"/>
  <c r="AE101" i="11"/>
  <c r="Z101" i="11" s="1"/>
  <c r="AC99" i="11"/>
  <c r="X99" i="11" s="1"/>
  <c r="AC94" i="11"/>
  <c r="X94" i="11" s="1"/>
  <c r="AC91" i="11"/>
  <c r="X91" i="11" s="1"/>
  <c r="AE64" i="11"/>
  <c r="Z64" i="11" s="1"/>
  <c r="AC76" i="11"/>
  <c r="X76" i="11" s="1"/>
  <c r="AC31" i="11"/>
  <c r="X31" i="11" s="1"/>
  <c r="AC69" i="11"/>
  <c r="X69" i="11" s="1"/>
  <c r="AC43" i="11"/>
  <c r="X43" i="11" s="1"/>
  <c r="AE106" i="11"/>
  <c r="Z106" i="11" s="1"/>
  <c r="AC107" i="11"/>
  <c r="X107" i="11" s="1"/>
  <c r="AC97" i="11"/>
  <c r="X97" i="11" s="1"/>
  <c r="AE8" i="11"/>
  <c r="Z8" i="11" s="1"/>
  <c r="AC68" i="11"/>
  <c r="X68" i="11" s="1"/>
  <c r="AC4" i="11"/>
  <c r="X4" i="11" s="1"/>
  <c r="AC42" i="11"/>
  <c r="X42" i="11" s="1"/>
  <c r="AC80" i="11"/>
  <c r="X80" i="11" s="1"/>
  <c r="AC35" i="11"/>
  <c r="X35" i="11" s="1"/>
  <c r="AC73" i="11"/>
  <c r="X73" i="11" s="1"/>
  <c r="AC96" i="11"/>
  <c r="X96" i="11" s="1"/>
  <c r="AE76" i="11"/>
  <c r="Z76" i="11" s="1"/>
  <c r="AC60" i="11"/>
  <c r="X60" i="11" s="1"/>
  <c r="AC79" i="11"/>
  <c r="X79" i="11" s="1"/>
  <c r="AC34" i="11"/>
  <c r="X34" i="11" s="1"/>
  <c r="AC53" i="11"/>
  <c r="X53" i="11" s="1"/>
  <c r="AC72" i="11"/>
  <c r="X72" i="11" s="1"/>
  <c r="AC8" i="11"/>
  <c r="X8" i="11" s="1"/>
  <c r="AC46" i="11"/>
  <c r="X46" i="11" s="1"/>
  <c r="AC65" i="11"/>
  <c r="X65" i="11" s="1"/>
  <c r="AC2" i="11"/>
  <c r="X2" i="11" s="1"/>
  <c r="AE34" i="11"/>
  <c r="Z34" i="11" s="1"/>
  <c r="AE27" i="11"/>
  <c r="Z27" i="11" s="1"/>
  <c r="AE20" i="11"/>
  <c r="Z20" i="11" s="1"/>
  <c r="AC52" i="11"/>
  <c r="X52" i="11" s="1"/>
  <c r="AC71" i="11"/>
  <c r="X71" i="11" s="1"/>
  <c r="AC7" i="11"/>
  <c r="X7" i="11" s="1"/>
  <c r="AC26" i="11"/>
  <c r="X26" i="11" s="1"/>
  <c r="AC45" i="11"/>
  <c r="X45" i="11" s="1"/>
  <c r="AC64" i="11"/>
  <c r="X64" i="11" s="1"/>
  <c r="AC83" i="11"/>
  <c r="X83" i="11" s="1"/>
  <c r="AC19" i="11"/>
  <c r="X19" i="11" s="1"/>
  <c r="AC38" i="11"/>
  <c r="X38" i="11" s="1"/>
  <c r="AC57" i="11"/>
  <c r="X57" i="11" s="1"/>
  <c r="AE87" i="11"/>
  <c r="Z87" i="11" s="1"/>
  <c r="AC108" i="11"/>
  <c r="X108" i="11" s="1"/>
  <c r="AC92" i="11"/>
  <c r="X92" i="11" s="1"/>
  <c r="AC89" i="11"/>
  <c r="X89" i="11" s="1"/>
  <c r="AA38" i="11"/>
  <c r="V38" i="11" s="1"/>
  <c r="AA76" i="11"/>
  <c r="V76" i="11" s="1"/>
  <c r="AA31" i="11"/>
  <c r="V31" i="11" s="1"/>
  <c r="AA50" i="11"/>
  <c r="V50" i="11" s="1"/>
  <c r="AA5" i="11"/>
  <c r="V5" i="11" s="1"/>
  <c r="AA43" i="11"/>
  <c r="V43" i="11" s="1"/>
  <c r="AA109" i="11"/>
  <c r="V109" i="11" s="1"/>
  <c r="AA103" i="11"/>
  <c r="V103" i="11" s="1"/>
  <c r="AA96" i="11"/>
  <c r="V96" i="11" s="1"/>
  <c r="AA49" i="11"/>
  <c r="V49" i="11" s="1"/>
  <c r="AA68" i="11"/>
  <c r="V68" i="11" s="1"/>
  <c r="AA23" i="11"/>
  <c r="V23" i="11" s="1"/>
  <c r="AA42" i="11"/>
  <c r="V42" i="11" s="1"/>
  <c r="AA80" i="11"/>
  <c r="V80" i="11" s="1"/>
  <c r="AA16" i="11"/>
  <c r="V16" i="11" s="1"/>
  <c r="AA35" i="11"/>
  <c r="V35" i="11" s="1"/>
  <c r="AA22" i="11"/>
  <c r="V22" i="11" s="1"/>
  <c r="AA41" i="11"/>
  <c r="V41" i="11" s="1"/>
  <c r="AA79" i="11"/>
  <c r="V79" i="11" s="1"/>
  <c r="AA15" i="11"/>
  <c r="V15" i="11" s="1"/>
  <c r="AA53" i="11"/>
  <c r="V53" i="11" s="1"/>
  <c r="AA72" i="11"/>
  <c r="V72" i="11" s="1"/>
  <c r="AA8" i="11"/>
  <c r="V8" i="11" s="1"/>
  <c r="AA27" i="11"/>
  <c r="V27" i="11" s="1"/>
  <c r="AA95" i="11"/>
  <c r="V95" i="11" s="1"/>
  <c r="AA78" i="11"/>
  <c r="V78" i="11" s="1"/>
  <c r="AA14" i="11"/>
  <c r="V14" i="11" s="1"/>
  <c r="AA52" i="11"/>
  <c r="V52" i="11" s="1"/>
  <c r="AA71" i="11"/>
  <c r="V71" i="11" s="1"/>
  <c r="AA26" i="11"/>
  <c r="V26" i="11" s="1"/>
  <c r="AA45" i="11"/>
  <c r="V45" i="11" s="1"/>
  <c r="AA64" i="11"/>
  <c r="V64" i="11" s="1"/>
  <c r="AA83" i="11"/>
  <c r="V83" i="11" s="1"/>
  <c r="AA19" i="11"/>
  <c r="V19" i="11" s="1"/>
  <c r="AA97" i="11"/>
  <c r="V97" i="11" s="1"/>
  <c r="AA93" i="11"/>
  <c r="V93" i="11" s="1"/>
  <c r="AA90" i="11"/>
  <c r="V90" i="11" s="1"/>
  <c r="AA70" i="11"/>
  <c r="V70" i="11" s="1"/>
  <c r="AA6" i="11"/>
  <c r="V6" i="11" s="1"/>
  <c r="AA25" i="11"/>
  <c r="V25" i="11" s="1"/>
  <c r="AA44" i="11"/>
  <c r="V44" i="11" s="1"/>
  <c r="AA63" i="11"/>
  <c r="V63" i="11" s="1"/>
  <c r="AA82" i="11"/>
  <c r="V82" i="11" s="1"/>
  <c r="AA18" i="11"/>
  <c r="V18" i="11" s="1"/>
  <c r="AA37" i="11"/>
  <c r="V37" i="11" s="1"/>
  <c r="AA56" i="11"/>
  <c r="V56" i="11" s="1"/>
  <c r="AA75" i="11"/>
  <c r="V75" i="11" s="1"/>
  <c r="AA11" i="11"/>
  <c r="V11" i="11" s="1"/>
  <c r="AA91" i="11"/>
  <c r="V91" i="11" s="1"/>
  <c r="AA89" i="11"/>
  <c r="V89" i="11" s="1"/>
  <c r="AA88" i="11"/>
  <c r="V88" i="11" s="1"/>
  <c r="AA57" i="11"/>
  <c r="V57" i="11" s="1"/>
  <c r="AA12" i="11"/>
  <c r="V12" i="11" s="1"/>
  <c r="AA69" i="11"/>
  <c r="V69" i="11" s="1"/>
  <c r="AA24" i="11"/>
  <c r="V24" i="11" s="1"/>
  <c r="AA30" i="11"/>
  <c r="V30" i="11" s="1"/>
  <c r="AA4" i="11"/>
  <c r="V4" i="11" s="1"/>
  <c r="AA61" i="11"/>
  <c r="V61" i="11" s="1"/>
  <c r="AA105" i="11"/>
  <c r="V105" i="11" s="1"/>
  <c r="AA99" i="11"/>
  <c r="V99" i="11" s="1"/>
  <c r="AA94" i="11"/>
  <c r="V94" i="11" s="1"/>
  <c r="AA60" i="11"/>
  <c r="V60" i="11" s="1"/>
  <c r="AA34" i="11"/>
  <c r="V34" i="11" s="1"/>
  <c r="AA101" i="11"/>
  <c r="V101" i="11" s="1"/>
  <c r="AA92" i="11"/>
  <c r="V92" i="11" s="1"/>
  <c r="AA33" i="11"/>
  <c r="V33" i="11" s="1"/>
  <c r="AA7" i="11"/>
  <c r="V7" i="11" s="1"/>
  <c r="AA62" i="11"/>
  <c r="V62" i="11" s="1"/>
  <c r="AA81" i="11"/>
  <c r="V81" i="11" s="1"/>
  <c r="AA17" i="11"/>
  <c r="V17" i="11" s="1"/>
  <c r="AA36" i="11"/>
  <c r="V36" i="11" s="1"/>
  <c r="AA55" i="11"/>
  <c r="V55" i="11" s="1"/>
  <c r="AA74" i="11"/>
  <c r="V74" i="11" s="1"/>
  <c r="AA10" i="11"/>
  <c r="V10" i="11" s="1"/>
  <c r="AA29" i="11"/>
  <c r="V29" i="11" s="1"/>
  <c r="AA48" i="11"/>
  <c r="V48" i="11" s="1"/>
  <c r="AA67" i="11"/>
  <c r="V67" i="11" s="1"/>
  <c r="AA3" i="11"/>
  <c r="V3" i="11" s="1"/>
  <c r="AA87" i="11"/>
  <c r="V87" i="11" s="1"/>
  <c r="AA102" i="11"/>
  <c r="V102" i="11" s="1"/>
  <c r="AA86" i="11"/>
  <c r="V86" i="11" s="1"/>
  <c r="AA54" i="11"/>
  <c r="V54" i="11" s="1"/>
  <c r="AA73" i="11"/>
  <c r="V73" i="11" s="1"/>
  <c r="AA9" i="11"/>
  <c r="V9" i="11" s="1"/>
  <c r="AA28" i="11"/>
  <c r="V28" i="11" s="1"/>
  <c r="AA47" i="11"/>
  <c r="V47" i="11" s="1"/>
  <c r="AA66" i="11"/>
  <c r="V66" i="11" s="1"/>
  <c r="AA85" i="11"/>
  <c r="V85" i="11" s="1"/>
  <c r="AA21" i="11"/>
  <c r="V21" i="11" s="1"/>
  <c r="AA40" i="11"/>
  <c r="V40" i="11" s="1"/>
  <c r="AA59" i="11"/>
  <c r="V59" i="11" s="1"/>
  <c r="AA2" i="11"/>
  <c r="V2" i="11" s="1"/>
  <c r="AA108" i="11"/>
  <c r="V108" i="11" s="1"/>
  <c r="AA100" i="11"/>
  <c r="V100" i="11" s="1"/>
  <c r="AA104" i="11"/>
  <c r="V104" i="11" s="1"/>
  <c r="AA46" i="11"/>
  <c r="V46" i="11" s="1"/>
  <c r="AA65" i="11"/>
  <c r="V65" i="11" s="1"/>
  <c r="AA84" i="11"/>
  <c r="V84" i="11" s="1"/>
  <c r="AA20" i="11"/>
  <c r="V20" i="11" s="1"/>
  <c r="AA39" i="11"/>
  <c r="V39" i="11" s="1"/>
  <c r="AA58" i="11"/>
  <c r="V58" i="11" s="1"/>
  <c r="AA77" i="11"/>
  <c r="V77" i="11" s="1"/>
  <c r="AA13" i="11"/>
  <c r="V13" i="11" s="1"/>
  <c r="AA32" i="11"/>
  <c r="V32" i="11" s="1"/>
  <c r="AA51" i="11"/>
  <c r="V51" i="11" s="1"/>
  <c r="AA106" i="11"/>
  <c r="V106" i="11" s="1"/>
  <c r="AA107" i="11"/>
  <c r="V107" i="11" s="1"/>
  <c r="AA98" i="11"/>
  <c r="V98" i="11" s="1"/>
  <c r="AE74" i="11"/>
  <c r="Z74" i="11" s="1"/>
  <c r="AE29" i="11"/>
  <c r="Z29" i="11" s="1"/>
  <c r="AE48" i="11"/>
  <c r="Z48" i="11" s="1"/>
  <c r="AE3" i="11"/>
  <c r="Z3" i="11" s="1"/>
  <c r="AE22" i="11"/>
  <c r="Z22" i="11" s="1"/>
  <c r="AE41" i="11"/>
  <c r="Z41" i="11" s="1"/>
  <c r="AE79" i="11"/>
  <c r="Z79" i="11" s="1"/>
  <c r="AE15" i="11"/>
  <c r="Z15" i="11" s="1"/>
  <c r="AE108" i="11"/>
  <c r="Z108" i="11" s="1"/>
  <c r="AE98" i="11"/>
  <c r="Z98" i="11" s="1"/>
  <c r="AE97" i="11"/>
  <c r="Z97" i="11" s="1"/>
  <c r="AE66" i="11"/>
  <c r="Z66" i="11" s="1"/>
  <c r="AE85" i="11"/>
  <c r="Z85" i="11" s="1"/>
  <c r="AE21" i="11"/>
  <c r="Z21" i="11" s="1"/>
  <c r="AE40" i="11"/>
  <c r="Z40" i="11" s="1"/>
  <c r="AE59" i="11"/>
  <c r="Z59" i="11" s="1"/>
  <c r="AE78" i="11"/>
  <c r="Z78" i="11" s="1"/>
  <c r="AE14" i="11"/>
  <c r="Z14" i="11" s="1"/>
  <c r="AE33" i="11"/>
  <c r="Z33" i="11" s="1"/>
  <c r="AE52" i="11"/>
  <c r="Z52" i="11" s="1"/>
  <c r="AE71" i="11"/>
  <c r="Z71" i="11" s="1"/>
  <c r="AE7" i="11"/>
  <c r="Z7" i="11" s="1"/>
  <c r="AE104" i="11"/>
  <c r="Z104" i="11" s="1"/>
  <c r="AE92" i="11"/>
  <c r="Z92" i="11" s="1"/>
  <c r="AE95" i="11"/>
  <c r="Z95" i="11" s="1"/>
  <c r="AE58" i="11"/>
  <c r="Z58" i="11" s="1"/>
  <c r="AE77" i="11"/>
  <c r="Z77" i="11" s="1"/>
  <c r="AE13" i="11"/>
  <c r="Z13" i="11" s="1"/>
  <c r="AE32" i="11"/>
  <c r="Z32" i="11" s="1"/>
  <c r="AE51" i="11"/>
  <c r="Z51" i="11" s="1"/>
  <c r="AE70" i="11"/>
  <c r="Z70" i="11" s="1"/>
  <c r="AE6" i="11"/>
  <c r="Z6" i="11" s="1"/>
  <c r="AE25" i="11"/>
  <c r="Z25" i="11" s="1"/>
  <c r="AE44" i="11"/>
  <c r="Z44" i="11" s="1"/>
  <c r="AE63" i="11"/>
  <c r="Z63" i="11" s="1"/>
  <c r="AE2" i="11"/>
  <c r="Z2" i="11" s="1"/>
  <c r="AE100" i="11"/>
  <c r="Z100" i="11" s="1"/>
  <c r="AE90" i="11"/>
  <c r="Z90" i="11" s="1"/>
  <c r="AE93" i="11"/>
  <c r="Z93" i="11" s="1"/>
  <c r="AE82" i="11"/>
  <c r="Z82" i="11" s="1"/>
  <c r="AE18" i="11"/>
  <c r="Z18" i="11" s="1"/>
  <c r="AE37" i="11"/>
  <c r="Z37" i="11" s="1"/>
  <c r="AE56" i="11"/>
  <c r="Z56" i="11" s="1"/>
  <c r="AE75" i="11"/>
  <c r="Z75" i="11" s="1"/>
  <c r="AE11" i="11"/>
  <c r="Z11" i="11" s="1"/>
  <c r="AE30" i="11"/>
  <c r="Z30" i="11" s="1"/>
  <c r="AE49" i="11"/>
  <c r="Z49" i="11" s="1"/>
  <c r="AE68" i="11"/>
  <c r="Z68" i="11" s="1"/>
  <c r="AE4" i="11"/>
  <c r="Z4" i="11" s="1"/>
  <c r="AE23" i="11"/>
  <c r="Z23" i="11" s="1"/>
  <c r="AE105" i="11"/>
  <c r="Z105" i="11" s="1"/>
  <c r="AE102" i="11"/>
  <c r="Z102" i="11" s="1"/>
  <c r="AE99" i="11"/>
  <c r="Z99" i="11" s="1"/>
  <c r="AE10" i="11"/>
  <c r="Z10" i="11" s="1"/>
  <c r="AE67" i="11"/>
  <c r="Z67" i="11" s="1"/>
  <c r="AE60" i="11"/>
  <c r="Z60" i="11" s="1"/>
  <c r="AE50" i="11"/>
  <c r="Z50" i="11" s="1"/>
  <c r="AE69" i="11"/>
  <c r="Z69" i="11" s="1"/>
  <c r="AE5" i="11"/>
  <c r="Z5" i="11" s="1"/>
  <c r="AE24" i="11"/>
  <c r="Z24" i="11" s="1"/>
  <c r="AE43" i="11"/>
  <c r="Z43" i="11" s="1"/>
  <c r="AE62" i="11"/>
  <c r="Z62" i="11" s="1"/>
  <c r="AE81" i="11"/>
  <c r="Z81" i="11" s="1"/>
  <c r="AE17" i="11"/>
  <c r="Z17" i="11" s="1"/>
  <c r="AE36" i="11"/>
  <c r="Z36" i="11" s="1"/>
  <c r="AE55" i="11"/>
  <c r="Z55" i="11" s="1"/>
  <c r="AE96" i="11"/>
  <c r="Z96" i="11" s="1"/>
  <c r="AE88" i="11"/>
  <c r="Z88" i="11" s="1"/>
  <c r="AE91" i="11"/>
  <c r="Z91" i="11" s="1"/>
  <c r="AE42" i="11"/>
  <c r="Z42" i="11" s="1"/>
  <c r="AE61" i="11"/>
  <c r="Z61" i="11" s="1"/>
  <c r="AE80" i="11"/>
  <c r="Z80" i="11" s="1"/>
  <c r="AE16" i="11"/>
  <c r="Z16" i="11" s="1"/>
  <c r="AE35" i="11"/>
  <c r="Z35" i="11" s="1"/>
  <c r="AE54" i="11"/>
  <c r="Z54" i="11" s="1"/>
  <c r="AE73" i="11"/>
  <c r="Z73" i="11" s="1"/>
  <c r="AE9" i="11"/>
  <c r="Z9" i="11" s="1"/>
  <c r="AE28" i="11"/>
  <c r="Z28" i="11" s="1"/>
  <c r="AE47" i="11"/>
  <c r="Z47" i="11" s="1"/>
  <c r="AE94" i="11"/>
  <c r="Z94" i="11" s="1"/>
  <c r="AE86" i="11"/>
  <c r="Z86" i="11" s="1"/>
  <c r="AE89" i="11"/>
  <c r="Z89" i="11" s="1"/>
  <c r="M17" i="10"/>
  <c r="M15" i="10"/>
  <c r="M16" i="10" s="1"/>
  <c r="Q12" i="10"/>
  <c r="P18" i="10"/>
  <c r="P12" i="10"/>
  <c r="P17" i="10"/>
  <c r="P21" i="10"/>
  <c r="M13" i="10"/>
  <c r="O18" i="10"/>
  <c r="M21" i="10"/>
  <c r="M14" i="10"/>
  <c r="M22" i="10"/>
  <c r="M12" i="10"/>
  <c r="Q21" i="10"/>
  <c r="M18" i="10"/>
  <c r="M19" i="10"/>
  <c r="M11" i="10"/>
  <c r="M20" i="10"/>
  <c r="Q15" i="10"/>
  <c r="Q16" i="10" s="1"/>
  <c r="Q11" i="10"/>
  <c r="Q20" i="10"/>
  <c r="O21" i="10"/>
  <c r="O17" i="10"/>
  <c r="P20" i="10"/>
  <c r="O12" i="10"/>
  <c r="O11" i="10"/>
  <c r="Q19" i="10"/>
  <c r="P14" i="10"/>
  <c r="N12" i="10"/>
  <c r="P11" i="10"/>
  <c r="N11" i="10"/>
  <c r="Q22" i="10"/>
  <c r="P19" i="10"/>
  <c r="O13" i="10"/>
  <c r="O22" i="10"/>
  <c r="O19" i="10"/>
  <c r="N17" i="10"/>
  <c r="N19" i="10"/>
  <c r="N21" i="10"/>
  <c r="Q18" i="10"/>
  <c r="Q14" i="10"/>
  <c r="M30" i="10"/>
  <c r="P30" i="10"/>
  <c r="O30" i="10"/>
  <c r="N30" i="10"/>
  <c r="O29" i="10"/>
  <c r="M29" i="10"/>
  <c r="N29" i="10"/>
  <c r="P22" i="10"/>
  <c r="O20" i="10"/>
  <c r="Q17" i="10"/>
  <c r="N28" i="10"/>
  <c r="M28" i="10"/>
  <c r="O14" i="10"/>
  <c r="N14" i="10"/>
  <c r="P13" i="10"/>
  <c r="N22" i="10"/>
  <c r="N20" i="10"/>
  <c r="N18" i="10"/>
  <c r="N15" i="10"/>
  <c r="N16" i="10" s="1"/>
  <c r="CP27" i="27" l="1"/>
  <c r="CQ27" i="27" s="1"/>
  <c r="CK28" i="27"/>
  <c r="CN27" i="27"/>
  <c r="CO27" i="27"/>
  <c r="N25" i="27"/>
  <c r="AW26" i="27"/>
  <c r="AX26" i="27" s="1"/>
  <c r="AR26" i="27"/>
  <c r="AT26" i="27"/>
  <c r="AU26" i="27"/>
  <c r="AS26" i="27"/>
  <c r="AV26" i="27"/>
  <c r="M16" i="7"/>
  <c r="CP28" i="27" l="1"/>
  <c r="CQ28" i="27" s="1"/>
  <c r="CK29" i="27"/>
  <c r="CN28" i="27"/>
  <c r="CO28" i="27"/>
  <c r="AV27" i="27"/>
  <c r="N26" i="27"/>
  <c r="AU27" i="27"/>
  <c r="AT27" i="27"/>
  <c r="AS27" i="27"/>
  <c r="AR27" i="27"/>
  <c r="AW27" i="27"/>
  <c r="AX27" i="27" s="1"/>
  <c r="N27" i="27" s="1"/>
  <c r="P16" i="7"/>
  <c r="N16" i="7"/>
  <c r="Q16" i="7"/>
  <c r="O16" i="7"/>
  <c r="CP29" i="27" l="1"/>
  <c r="CQ29" i="27" s="1"/>
  <c r="CK30" i="27"/>
  <c r="CN29" i="27"/>
  <c r="CO29" i="27"/>
  <c r="AV28" i="27"/>
  <c r="AT28" i="27"/>
  <c r="AS28" i="27"/>
  <c r="AR28" i="27"/>
  <c r="AW28" i="27"/>
  <c r="AX28" i="27" s="1"/>
  <c r="N28" i="27" s="1"/>
  <c r="AU28" i="27"/>
  <c r="CP30" i="27" l="1"/>
  <c r="CQ30" i="27" s="1"/>
  <c r="CN30" i="27"/>
  <c r="CK31" i="27"/>
  <c r="CO30" i="27"/>
  <c r="AR29" i="27"/>
  <c r="AW29" i="27"/>
  <c r="AX29" i="27" s="1"/>
  <c r="N29" i="27" s="1"/>
  <c r="AS29" i="27"/>
  <c r="AU29" i="27"/>
  <c r="AV29" i="27"/>
  <c r="AT29" i="27"/>
  <c r="CP31" i="27" l="1"/>
  <c r="CQ31" i="27" s="1"/>
  <c r="CK32" i="27"/>
  <c r="CN31" i="27"/>
  <c r="CO31" i="27"/>
  <c r="AS30" i="27"/>
  <c r="AR30" i="27"/>
  <c r="AW30" i="27"/>
  <c r="AX30" i="27" s="1"/>
  <c r="N30" i="27" s="1"/>
  <c r="AT30" i="27"/>
  <c r="AU30" i="27"/>
  <c r="AV30" i="27"/>
  <c r="CP32" i="27" l="1"/>
  <c r="CQ32" i="27" s="1"/>
  <c r="CK33" i="27"/>
  <c r="CN32" i="27"/>
  <c r="CO32" i="27"/>
  <c r="AS31" i="27"/>
  <c r="AT31" i="27"/>
  <c r="AV31" i="27"/>
  <c r="AV32" i="27"/>
  <c r="AR31" i="27"/>
  <c r="AW31" i="27"/>
  <c r="AX31" i="27" s="1"/>
  <c r="N31" i="27" s="1"/>
  <c r="AU31" i="27"/>
  <c r="CP33" i="27" l="1"/>
  <c r="CQ33" i="27" s="1"/>
  <c r="CK34" i="27"/>
  <c r="CN33" i="27"/>
  <c r="CO33" i="27"/>
  <c r="AU32" i="27"/>
  <c r="AT32" i="27"/>
  <c r="AW32" i="27"/>
  <c r="AX32" i="27" s="1"/>
  <c r="N32" i="27" s="1"/>
  <c r="AR32" i="27"/>
  <c r="AS32" i="27"/>
  <c r="CP34" i="27" l="1"/>
  <c r="CQ34" i="27" s="1"/>
  <c r="CK35" i="27"/>
  <c r="CN34" i="27"/>
  <c r="CO34" i="27"/>
  <c r="AV33" i="27"/>
  <c r="AT33" i="27"/>
  <c r="AS33" i="27"/>
  <c r="AR33" i="27"/>
  <c r="AW33" i="27"/>
  <c r="AX33" i="27" s="1"/>
  <c r="N33" i="27" s="1"/>
  <c r="AU33" i="27"/>
  <c r="CP35" i="27" l="1"/>
  <c r="CQ35" i="27" s="1"/>
  <c r="CO35" i="27"/>
  <c r="CK36" i="27"/>
  <c r="CN35" i="27"/>
  <c r="AW34" i="27"/>
  <c r="AX34" i="27" s="1"/>
  <c r="N34" i="27" s="1"/>
  <c r="AR34" i="27"/>
  <c r="AS34" i="27"/>
  <c r="AT34" i="27"/>
  <c r="AV34" i="27"/>
  <c r="AU34" i="27"/>
  <c r="CP36" i="27" l="1"/>
  <c r="CQ36" i="27" s="1"/>
  <c r="CK37" i="27"/>
  <c r="CN36" i="27"/>
  <c r="CO36" i="27"/>
  <c r="AV35" i="27"/>
  <c r="AS35" i="27"/>
  <c r="AU35" i="27"/>
  <c r="AT35" i="27"/>
  <c r="AR35" i="27"/>
  <c r="AW35" i="27"/>
  <c r="AX35" i="27" s="1"/>
  <c r="N35" i="27" s="1"/>
  <c r="CP37" i="27" l="1"/>
  <c r="CQ37" i="27" s="1"/>
  <c r="CK38" i="27"/>
  <c r="CN37" i="27"/>
  <c r="CO37" i="27"/>
  <c r="AT36" i="27"/>
  <c r="AU36" i="27"/>
  <c r="AV36" i="27"/>
  <c r="AS36" i="27"/>
  <c r="AW36" i="27"/>
  <c r="AX36" i="27" s="1"/>
  <c r="N36" i="27" s="1"/>
  <c r="AR36" i="27"/>
  <c r="CP38" i="27" l="1"/>
  <c r="CQ38" i="27" s="1"/>
  <c r="CK39" i="27"/>
  <c r="CN38" i="27"/>
  <c r="CO38" i="27"/>
  <c r="AS37" i="27"/>
  <c r="AU37" i="27"/>
  <c r="AT37" i="27"/>
  <c r="AR37" i="27"/>
  <c r="AW37" i="27"/>
  <c r="AX37" i="27" s="1"/>
  <c r="N37" i="27" s="1"/>
  <c r="AV37" i="27"/>
  <c r="CP39" i="27" l="1"/>
  <c r="CQ39" i="27" s="1"/>
  <c r="CK40" i="27"/>
  <c r="CN39" i="27"/>
  <c r="CO39" i="27"/>
  <c r="AT38" i="27"/>
  <c r="AS38" i="27"/>
  <c r="AW38" i="27"/>
  <c r="AX38" i="27" s="1"/>
  <c r="N38" i="27" s="1"/>
  <c r="AR38" i="27"/>
  <c r="AU38" i="27"/>
  <c r="AV38" i="27"/>
  <c r="CP40" i="27" l="1"/>
  <c r="CQ40" i="27" s="1"/>
  <c r="CN40" i="27"/>
  <c r="CK41" i="27"/>
  <c r="CO40" i="27"/>
  <c r="AR39" i="27"/>
  <c r="AW39" i="27"/>
  <c r="AX39" i="27" s="1"/>
  <c r="N39" i="27" s="1"/>
  <c r="AS39" i="27"/>
  <c r="AU39" i="27"/>
  <c r="AT39" i="27"/>
  <c r="AV39" i="27"/>
  <c r="CP41" i="27" l="1"/>
  <c r="CQ41" i="27" s="1"/>
  <c r="CN41" i="27"/>
  <c r="CO41" i="27"/>
  <c r="CK42" i="27"/>
  <c r="AS40" i="27"/>
  <c r="AV40" i="27"/>
  <c r="AW40" i="27"/>
  <c r="AX40" i="27" s="1"/>
  <c r="N40" i="27" s="1"/>
  <c r="AR40" i="27"/>
  <c r="AT40" i="27"/>
  <c r="AU40" i="27"/>
  <c r="CP42" i="27" l="1"/>
  <c r="CQ42" i="27" s="1"/>
  <c r="CN42" i="27"/>
  <c r="CO42" i="27"/>
  <c r="CK43" i="27"/>
  <c r="AV41" i="27"/>
  <c r="AU41" i="27"/>
  <c r="AS41" i="27"/>
  <c r="AT41" i="27"/>
  <c r="AR41" i="27"/>
  <c r="AW41" i="27"/>
  <c r="AX41" i="27" s="1"/>
  <c r="N41" i="27" s="1"/>
  <c r="CP43" i="27" l="1"/>
  <c r="CQ43" i="27" s="1"/>
  <c r="CK44" i="27"/>
  <c r="CN43" i="27"/>
  <c r="CO43" i="27"/>
  <c r="AS42" i="27"/>
  <c r="AT42" i="27"/>
  <c r="AU42" i="27"/>
  <c r="AV42" i="27"/>
  <c r="AW42" i="27"/>
  <c r="AX42" i="27" s="1"/>
  <c r="N42" i="27" s="1"/>
  <c r="AR42" i="27"/>
  <c r="CP44" i="27" l="1"/>
  <c r="CQ44" i="27" s="1"/>
  <c r="CN44" i="27"/>
  <c r="CO44" i="27"/>
  <c r="CK45" i="27"/>
  <c r="AV43" i="27"/>
  <c r="AU43" i="27"/>
  <c r="AT43" i="27"/>
  <c r="AS43" i="27"/>
  <c r="AR43" i="27"/>
  <c r="AW43" i="27"/>
  <c r="AX43" i="27" s="1"/>
  <c r="N43" i="27" s="1"/>
  <c r="CP45" i="27" l="1"/>
  <c r="CQ45" i="27" s="1"/>
  <c r="CK46" i="27"/>
  <c r="CN45" i="27"/>
  <c r="CO45" i="27"/>
  <c r="AS44" i="27"/>
  <c r="AT44" i="27"/>
  <c r="AU44" i="27"/>
  <c r="AW44" i="27"/>
  <c r="AX44" i="27" s="1"/>
  <c r="N44" i="27" s="1"/>
  <c r="AR44" i="27"/>
  <c r="AV44" i="27"/>
  <c r="CP46" i="27" l="1"/>
  <c r="CQ46" i="27" s="1"/>
  <c r="CN46" i="27"/>
  <c r="CO46" i="27"/>
  <c r="CK47" i="27"/>
  <c r="AT45" i="27"/>
  <c r="AR45" i="27"/>
  <c r="AW45" i="27"/>
  <c r="AX45" i="27" s="1"/>
  <c r="N45" i="27" s="1"/>
  <c r="AU45" i="27"/>
  <c r="AV45" i="27"/>
  <c r="AS45" i="27"/>
  <c r="CP47" i="27" l="1"/>
  <c r="CQ47" i="27" s="1"/>
  <c r="CN47" i="27"/>
  <c r="CO47" i="27"/>
  <c r="CK48" i="27"/>
  <c r="AU46" i="27"/>
  <c r="AS46" i="27"/>
  <c r="AT46" i="27"/>
  <c r="AW46" i="27"/>
  <c r="AX46" i="27" s="1"/>
  <c r="N46" i="27" s="1"/>
  <c r="AR46" i="27"/>
  <c r="AV46" i="27"/>
  <c r="CP48" i="27" l="1"/>
  <c r="CQ48" i="27" s="1"/>
  <c r="CN48" i="27"/>
  <c r="CK49" i="27"/>
  <c r="CO48" i="27"/>
  <c r="AT47" i="27"/>
  <c r="AS47" i="27"/>
  <c r="AR47" i="27"/>
  <c r="AW47" i="27"/>
  <c r="AX47" i="27" s="1"/>
  <c r="N47" i="27" s="1"/>
  <c r="AV47" i="27"/>
  <c r="AU47" i="27"/>
  <c r="CP49" i="27" l="1"/>
  <c r="CQ49" i="27" s="1"/>
  <c r="CK50" i="27"/>
  <c r="CN49" i="27"/>
  <c r="CO49" i="27"/>
  <c r="AU48" i="27"/>
  <c r="AS48" i="27"/>
  <c r="AV48" i="27"/>
  <c r="AT48" i="27"/>
  <c r="AW48" i="27"/>
  <c r="AX48" i="27" s="1"/>
  <c r="N48" i="27" s="1"/>
  <c r="AR48" i="27"/>
  <c r="CP50" i="27" l="1"/>
  <c r="CQ50" i="27" s="1"/>
  <c r="CK51" i="27"/>
  <c r="CN50" i="27"/>
  <c r="CO50" i="27"/>
  <c r="AS49" i="27"/>
  <c r="AV49" i="27"/>
  <c r="AR49" i="27"/>
  <c r="AW49" i="27"/>
  <c r="AX49" i="27" s="1"/>
  <c r="N49" i="27" s="1"/>
  <c r="AT49" i="27"/>
  <c r="AU49" i="27"/>
  <c r="CP51" i="27" l="1"/>
  <c r="CQ51" i="27" s="1"/>
  <c r="CK52" i="27"/>
  <c r="CN51" i="27"/>
  <c r="CO51" i="27"/>
  <c r="AV50" i="27"/>
  <c r="AU50" i="27"/>
  <c r="AT50" i="27"/>
  <c r="AW50" i="27"/>
  <c r="AX50" i="27" s="1"/>
  <c r="N50" i="27" s="1"/>
  <c r="AR50" i="27"/>
  <c r="AS50" i="27"/>
  <c r="CP52" i="27" l="1"/>
  <c r="CQ52" i="27" s="1"/>
  <c r="CK53" i="27"/>
  <c r="CN52" i="27"/>
  <c r="CO52" i="27"/>
  <c r="AR51" i="27"/>
  <c r="AW51" i="27"/>
  <c r="AX51" i="27" s="1"/>
  <c r="N51" i="27" s="1"/>
  <c r="AT51" i="27"/>
  <c r="AV51" i="27"/>
  <c r="AS51" i="27"/>
  <c r="AU51" i="27"/>
  <c r="CP53" i="27" l="1"/>
  <c r="CQ53" i="27" s="1"/>
  <c r="CK54" i="27"/>
  <c r="CN53" i="27"/>
  <c r="CO53" i="27"/>
  <c r="AU52" i="27"/>
  <c r="AS52" i="27"/>
  <c r="AT52" i="27"/>
  <c r="AW52" i="27"/>
  <c r="AX52" i="27" s="1"/>
  <c r="N52" i="27" s="1"/>
  <c r="AR52" i="27"/>
  <c r="AV52" i="27"/>
  <c r="CP54" i="27" l="1"/>
  <c r="CQ54" i="27" s="1"/>
  <c r="CK55" i="27"/>
  <c r="CN54" i="27"/>
  <c r="CO54" i="27"/>
  <c r="AV53" i="27"/>
  <c r="AT53" i="27"/>
  <c r="AS53" i="27"/>
  <c r="AR53" i="27"/>
  <c r="AW53" i="27"/>
  <c r="AX53" i="27" s="1"/>
  <c r="N53" i="27" s="1"/>
  <c r="AU53" i="27"/>
  <c r="CP55" i="27" l="1"/>
  <c r="CQ55" i="27" s="1"/>
  <c r="CK56" i="27"/>
  <c r="CN55" i="27"/>
  <c r="CO55" i="27"/>
  <c r="AR54" i="27"/>
  <c r="AW54" i="27"/>
  <c r="AX54" i="27" s="1"/>
  <c r="N54" i="27" s="1"/>
  <c r="AV54" i="27"/>
  <c r="AS54" i="27"/>
  <c r="AT54" i="27"/>
  <c r="AU54" i="27"/>
  <c r="CP56" i="27" l="1"/>
  <c r="CQ56" i="27" s="1"/>
  <c r="CK57" i="27"/>
  <c r="CO56" i="27"/>
  <c r="CN56" i="27"/>
  <c r="AV55" i="27"/>
  <c r="AU55" i="27"/>
  <c r="AW55" i="27"/>
  <c r="AX55" i="27" s="1"/>
  <c r="N55" i="27" s="1"/>
  <c r="AR55" i="27"/>
  <c r="AS55" i="27"/>
  <c r="AT55" i="27"/>
  <c r="CP57" i="27" l="1"/>
  <c r="CQ57" i="27" s="1"/>
  <c r="CK58" i="27"/>
  <c r="CN57" i="27"/>
  <c r="CO57" i="27"/>
  <c r="AV56" i="27"/>
  <c r="AR56" i="27"/>
  <c r="AW56" i="27"/>
  <c r="AX56" i="27" s="1"/>
  <c r="N56" i="27" s="1"/>
  <c r="AT56" i="27"/>
  <c r="AU56" i="27"/>
  <c r="AS56" i="27"/>
  <c r="CP58" i="27" l="1"/>
  <c r="CQ58" i="27" s="1"/>
  <c r="CK59" i="27"/>
  <c r="CN58" i="27"/>
  <c r="CO58" i="27"/>
  <c r="AU57" i="27"/>
  <c r="AT57" i="27"/>
  <c r="AV57" i="27"/>
  <c r="AR57" i="27"/>
  <c r="AW57" i="27"/>
  <c r="AX57" i="27" s="1"/>
  <c r="N57" i="27" s="1"/>
  <c r="AS57" i="27"/>
  <c r="CP59" i="27" l="1"/>
  <c r="CQ59" i="27" s="1"/>
  <c r="CK60" i="27"/>
  <c r="CN59" i="27"/>
  <c r="CO59" i="27"/>
  <c r="AW58" i="27"/>
  <c r="AX58" i="27" s="1"/>
  <c r="N58" i="27" s="1"/>
  <c r="AR58" i="27"/>
  <c r="AS58" i="27"/>
  <c r="AT58" i="27"/>
  <c r="AV58" i="27"/>
  <c r="AU58" i="27"/>
  <c r="CP60" i="27" l="1"/>
  <c r="CQ60" i="27" s="1"/>
  <c r="CK61" i="27"/>
  <c r="CN60" i="27"/>
  <c r="CO60" i="27"/>
  <c r="AT59" i="27"/>
  <c r="AS59" i="27"/>
  <c r="AU59" i="27"/>
  <c r="AW59" i="27"/>
  <c r="AX59" i="27" s="1"/>
  <c r="N59" i="27" s="1"/>
  <c r="AR59" i="27"/>
  <c r="AV59" i="27"/>
  <c r="CP61" i="27" l="1"/>
  <c r="CQ61" i="27" s="1"/>
  <c r="CK62" i="27"/>
  <c r="CN61" i="27"/>
  <c r="CO61" i="27"/>
  <c r="AU60" i="27"/>
  <c r="AS60" i="27"/>
  <c r="AR60" i="27"/>
  <c r="AW60" i="27"/>
  <c r="AX60" i="27" s="1"/>
  <c r="N60" i="27" s="1"/>
  <c r="AV60" i="27"/>
  <c r="AT60" i="27"/>
  <c r="CP62" i="27" l="1"/>
  <c r="CQ62" i="27" s="1"/>
  <c r="CN62" i="27"/>
  <c r="CK63" i="27"/>
  <c r="CO62" i="27"/>
  <c r="AS61" i="27"/>
  <c r="AW61" i="27"/>
  <c r="AX61" i="27" s="1"/>
  <c r="N61" i="27" s="1"/>
  <c r="AR61" i="27"/>
  <c r="AT61" i="27"/>
  <c r="AU61" i="27"/>
  <c r="AV61" i="27"/>
  <c r="CP63" i="27" l="1"/>
  <c r="CQ63" i="27" s="1"/>
  <c r="CK64" i="27"/>
  <c r="CN63" i="27"/>
  <c r="CO63" i="27"/>
  <c r="BQ62" i="27"/>
  <c r="BF62" i="27" s="1"/>
  <c r="AT62" i="27"/>
  <c r="AR62" i="27"/>
  <c r="AW62" i="27"/>
  <c r="AX62" i="27" s="1"/>
  <c r="N62" i="27" s="1"/>
  <c r="AE62" i="27" s="1"/>
  <c r="H62" i="27" s="1"/>
  <c r="AV62" i="27"/>
  <c r="AS62" i="27"/>
  <c r="AU62" i="27"/>
  <c r="CP64" i="27" l="1"/>
  <c r="CQ64" i="27" s="1"/>
  <c r="CN64" i="27"/>
  <c r="CK65" i="27"/>
  <c r="CO64" i="27"/>
  <c r="BQ63" i="27"/>
  <c r="BF63" i="27" s="1"/>
  <c r="AU63" i="27"/>
  <c r="AV63" i="27"/>
  <c r="AW63" i="27"/>
  <c r="AX63" i="27" s="1"/>
  <c r="N63" i="27" s="1"/>
  <c r="AE63" i="27" s="1"/>
  <c r="H63" i="27" s="1"/>
  <c r="AR63" i="27"/>
  <c r="AS63" i="27"/>
  <c r="AT63" i="27"/>
  <c r="CP65" i="27" l="1"/>
  <c r="CQ65" i="27" s="1"/>
  <c r="CK66" i="27"/>
  <c r="CN65" i="27"/>
  <c r="CO65" i="27"/>
  <c r="BQ64" i="27"/>
  <c r="BF64" i="27" s="1"/>
  <c r="AR64" i="27"/>
  <c r="AW64" i="27"/>
  <c r="AX64" i="27" s="1"/>
  <c r="N64" i="27" s="1"/>
  <c r="AE64" i="27" s="1"/>
  <c r="H64" i="27" s="1"/>
  <c r="AT64" i="27"/>
  <c r="AU64" i="27"/>
  <c r="AS64" i="27"/>
  <c r="AV64" i="27"/>
  <c r="CP66" i="27" l="1"/>
  <c r="CQ66" i="27" s="1"/>
  <c r="CN66" i="27"/>
  <c r="CO66" i="27"/>
  <c r="CK67" i="27"/>
  <c r="BQ65" i="27"/>
  <c r="BF65" i="27" s="1"/>
  <c r="AV65" i="27"/>
  <c r="AU65" i="27"/>
  <c r="AT65" i="27"/>
  <c r="AS65" i="27"/>
  <c r="AW65" i="27"/>
  <c r="AX65" i="27" s="1"/>
  <c r="N65" i="27" s="1"/>
  <c r="AE65" i="27" s="1"/>
  <c r="H65" i="27" s="1"/>
  <c r="AR65" i="27"/>
  <c r="CP67" i="27" l="1"/>
  <c r="CQ67" i="27" s="1"/>
  <c r="CK68" i="27"/>
  <c r="CN67" i="27"/>
  <c r="CO67" i="27"/>
  <c r="BQ66" i="27"/>
  <c r="BF66" i="27" s="1"/>
  <c r="AT66" i="27"/>
  <c r="AS66" i="27"/>
  <c r="AU66" i="27"/>
  <c r="AV66" i="27"/>
  <c r="AR66" i="27"/>
  <c r="AW66" i="27"/>
  <c r="AX66" i="27" s="1"/>
  <c r="N66" i="27" s="1"/>
  <c r="AE66" i="27" s="1"/>
  <c r="H66" i="27" s="1"/>
  <c r="CP68" i="27" l="1"/>
  <c r="CQ68" i="27" s="1"/>
  <c r="CK69" i="27"/>
  <c r="CN68" i="27"/>
  <c r="CO68" i="27"/>
  <c r="BQ67" i="27"/>
  <c r="BF67" i="27" s="1"/>
  <c r="AS67" i="27"/>
  <c r="AV67" i="27"/>
  <c r="AW67" i="27"/>
  <c r="AX67" i="27" s="1"/>
  <c r="N67" i="27" s="1"/>
  <c r="AE67" i="27" s="1"/>
  <c r="H67" i="27" s="1"/>
  <c r="AR67" i="27"/>
  <c r="AU67" i="27"/>
  <c r="AT67" i="27"/>
  <c r="CP69" i="27" l="1"/>
  <c r="CQ69" i="27" s="1"/>
  <c r="CK70" i="27"/>
  <c r="CN69" i="27"/>
  <c r="CO69" i="27"/>
  <c r="BQ68" i="27"/>
  <c r="BF68" i="27" s="1"/>
  <c r="AR68" i="27"/>
  <c r="AW68" i="27"/>
  <c r="AX68" i="27" s="1"/>
  <c r="N68" i="27" s="1"/>
  <c r="AE68" i="27" s="1"/>
  <c r="H68" i="27" s="1"/>
  <c r="AT68" i="27"/>
  <c r="AS68" i="27"/>
  <c r="AU68" i="27"/>
  <c r="AV68" i="27"/>
  <c r="CP70" i="27" l="1"/>
  <c r="CQ70" i="27" s="1"/>
  <c r="CN70" i="27"/>
  <c r="CO70" i="27"/>
  <c r="CK71" i="27"/>
  <c r="BQ69" i="27"/>
  <c r="BF69" i="27" s="1"/>
  <c r="AS69" i="27"/>
  <c r="AU69" i="27"/>
  <c r="AW69" i="27"/>
  <c r="AX69" i="27" s="1"/>
  <c r="N69" i="27" s="1"/>
  <c r="AE69" i="27" s="1"/>
  <c r="H69" i="27" s="1"/>
  <c r="AR69" i="27"/>
  <c r="AT69" i="27"/>
  <c r="AV69" i="27"/>
  <c r="CP71" i="27" l="1"/>
  <c r="CQ71" i="27" s="1"/>
  <c r="CK72" i="27"/>
  <c r="CN71" i="27"/>
  <c r="CO71" i="27"/>
  <c r="BQ70" i="27"/>
  <c r="BF70" i="27" s="1"/>
  <c r="AV70" i="27"/>
  <c r="AU70" i="27"/>
  <c r="AS70" i="27"/>
  <c r="AT70" i="27"/>
  <c r="AR70" i="27"/>
  <c r="AW70" i="27"/>
  <c r="AX70" i="27" s="1"/>
  <c r="N70" i="27" s="1"/>
  <c r="AE70" i="27" s="1"/>
  <c r="H70" i="27" s="1"/>
  <c r="CP72" i="27" l="1"/>
  <c r="CQ72" i="27" s="1"/>
  <c r="CN72" i="27"/>
  <c r="CO72" i="27"/>
  <c r="CK73" i="27"/>
  <c r="BQ71" i="27"/>
  <c r="BF71" i="27" s="1"/>
  <c r="AT71" i="27"/>
  <c r="AS71" i="27"/>
  <c r="AU71" i="27"/>
  <c r="AW71" i="27"/>
  <c r="AX71" i="27" s="1"/>
  <c r="N71" i="27" s="1"/>
  <c r="AE71" i="27" s="1"/>
  <c r="H71" i="27" s="1"/>
  <c r="AR71" i="27"/>
  <c r="AV71" i="27"/>
  <c r="CP73" i="27" l="1"/>
  <c r="CQ73" i="27" s="1"/>
  <c r="CK74" i="27"/>
  <c r="CN73" i="27"/>
  <c r="CO73" i="27"/>
  <c r="BQ72" i="27"/>
  <c r="BF72" i="27" s="1"/>
  <c r="AS72" i="27"/>
  <c r="AU72" i="27"/>
  <c r="AT72" i="27"/>
  <c r="AV72" i="27"/>
  <c r="AR72" i="27"/>
  <c r="AW72" i="27"/>
  <c r="AX72" i="27" s="1"/>
  <c r="N72" i="27" s="1"/>
  <c r="AE72" i="27" s="1"/>
  <c r="H72" i="27" s="1"/>
  <c r="CP74" i="27" l="1"/>
  <c r="CQ74" i="27" s="1"/>
  <c r="CK75" i="27"/>
  <c r="CN74" i="27"/>
  <c r="CO74" i="27"/>
  <c r="BQ73" i="27"/>
  <c r="BF73" i="27" s="1"/>
  <c r="AV73" i="27"/>
  <c r="AT73" i="27"/>
  <c r="AW73" i="27"/>
  <c r="AX73" i="27" s="1"/>
  <c r="N73" i="27" s="1"/>
  <c r="AE73" i="27" s="1"/>
  <c r="H73" i="27" s="1"/>
  <c r="AR73" i="27"/>
  <c r="AS73" i="27"/>
  <c r="AU73" i="27"/>
  <c r="CP75" i="27" l="1"/>
  <c r="CQ75" i="27" s="1"/>
  <c r="CK76" i="27"/>
  <c r="CN75" i="27"/>
  <c r="CO75" i="27"/>
  <c r="BQ74" i="27"/>
  <c r="BF74" i="27" s="1"/>
  <c r="AV74" i="27"/>
  <c r="AS74" i="27"/>
  <c r="AR74" i="27"/>
  <c r="AW74" i="27"/>
  <c r="AX74" i="27" s="1"/>
  <c r="N74" i="27" s="1"/>
  <c r="AE74" i="27" s="1"/>
  <c r="H74" i="27" s="1"/>
  <c r="AT74" i="27"/>
  <c r="AU74" i="27"/>
  <c r="CP76" i="27" l="1"/>
  <c r="CQ76" i="27" s="1"/>
  <c r="CN76" i="27"/>
  <c r="CO76" i="27"/>
  <c r="CK77" i="27"/>
  <c r="BQ75" i="27"/>
  <c r="BF75" i="27" s="1"/>
  <c r="AT75" i="27"/>
  <c r="AS75" i="27"/>
  <c r="AW75" i="27"/>
  <c r="AX75" i="27" s="1"/>
  <c r="N75" i="27" s="1"/>
  <c r="AE75" i="27" s="1"/>
  <c r="H75" i="27" s="1"/>
  <c r="AR75" i="27"/>
  <c r="AV75" i="27"/>
  <c r="AU75" i="27"/>
  <c r="CP77" i="27" l="1"/>
  <c r="CQ77" i="27" s="1"/>
  <c r="CK78" i="27"/>
  <c r="CN77" i="27"/>
  <c r="CO77" i="27"/>
  <c r="BQ76" i="27"/>
  <c r="BF76" i="27" s="1"/>
  <c r="AS76" i="27"/>
  <c r="AU76" i="27"/>
  <c r="AV76" i="27"/>
  <c r="AT76" i="27"/>
  <c r="AV77" i="27"/>
  <c r="AR76" i="27"/>
  <c r="AW76" i="27"/>
  <c r="AX76" i="27" s="1"/>
  <c r="N76" i="27" s="1"/>
  <c r="AE76" i="27" s="1"/>
  <c r="H76" i="27" s="1"/>
  <c r="CP78" i="27" l="1"/>
  <c r="CQ78" i="27" s="1"/>
  <c r="CK79" i="27"/>
  <c r="CO78" i="27"/>
  <c r="CN78" i="27"/>
  <c r="BQ77" i="27"/>
  <c r="BF77" i="27" s="1"/>
  <c r="AW77" i="27"/>
  <c r="AX77" i="27" s="1"/>
  <c r="N77" i="27" s="1"/>
  <c r="AE77" i="27" s="1"/>
  <c r="H77" i="27" s="1"/>
  <c r="AR77" i="27"/>
  <c r="AU77" i="27"/>
  <c r="AS77" i="27"/>
  <c r="AT77" i="27"/>
  <c r="CP79" i="27" l="1"/>
  <c r="CQ79" i="27" s="1"/>
  <c r="CK80" i="27"/>
  <c r="CN79" i="27"/>
  <c r="CO79" i="27"/>
  <c r="BQ78" i="27"/>
  <c r="BF78" i="27" s="1"/>
  <c r="AV78" i="27"/>
  <c r="AS78" i="27"/>
  <c r="AU78" i="27"/>
  <c r="AR78" i="27"/>
  <c r="AW78" i="27"/>
  <c r="AX78" i="27" s="1"/>
  <c r="N78" i="27" s="1"/>
  <c r="AE78" i="27" s="1"/>
  <c r="H78" i="27" s="1"/>
  <c r="AT78" i="27"/>
  <c r="CP80" i="27" l="1"/>
  <c r="CQ80" i="27" s="1"/>
  <c r="CN80" i="27"/>
  <c r="CO80" i="27"/>
  <c r="CK81" i="27"/>
  <c r="BQ79" i="27"/>
  <c r="BF79" i="27" s="1"/>
  <c r="AW79" i="27"/>
  <c r="AX79" i="27" s="1"/>
  <c r="N79" i="27" s="1"/>
  <c r="AE79" i="27" s="1"/>
  <c r="H79" i="27" s="1"/>
  <c r="AR79" i="27"/>
  <c r="AU79" i="27"/>
  <c r="AV79" i="27"/>
  <c r="AT79" i="27"/>
  <c r="AS79" i="27"/>
  <c r="CP81" i="27" l="1"/>
  <c r="CQ81" i="27" s="1"/>
  <c r="CK82" i="27"/>
  <c r="CN81" i="27"/>
  <c r="CO81" i="27"/>
  <c r="BQ80" i="27"/>
  <c r="BF80" i="27" s="1"/>
  <c r="AV80" i="27"/>
  <c r="AS80" i="27"/>
  <c r="AT80" i="27"/>
  <c r="AU80" i="27"/>
  <c r="AR80" i="27"/>
  <c r="AW80" i="27"/>
  <c r="AX80" i="27" s="1"/>
  <c r="N80" i="27" s="1"/>
  <c r="AE80" i="27" s="1"/>
  <c r="H80" i="27" s="1"/>
  <c r="CP82" i="27" l="1"/>
  <c r="CQ82" i="27" s="1"/>
  <c r="CK83" i="27"/>
  <c r="CO82" i="27"/>
  <c r="CN82" i="27"/>
  <c r="BQ81" i="27"/>
  <c r="BF81" i="27" s="1"/>
  <c r="AW81" i="27"/>
  <c r="AX81" i="27" s="1"/>
  <c r="N81" i="27" s="1"/>
  <c r="AE81" i="27" s="1"/>
  <c r="H81" i="27" s="1"/>
  <c r="AR81" i="27"/>
  <c r="AT81" i="27"/>
  <c r="AU81" i="27"/>
  <c r="AV81" i="27"/>
  <c r="AS81" i="27"/>
  <c r="CP83" i="27" l="1"/>
  <c r="CQ83" i="27" s="1"/>
  <c r="CK84" i="27"/>
  <c r="CN83" i="27"/>
  <c r="CO83" i="27"/>
  <c r="BQ82" i="27"/>
  <c r="BF82" i="27" s="1"/>
  <c r="AV82" i="27"/>
  <c r="AT82" i="27"/>
  <c r="AS82" i="27"/>
  <c r="AR82" i="27"/>
  <c r="AW82" i="27"/>
  <c r="AX82" i="27" s="1"/>
  <c r="N82" i="27" s="1"/>
  <c r="AE82" i="27" s="1"/>
  <c r="H82" i="27" s="1"/>
  <c r="AU82" i="27"/>
  <c r="CP84" i="27" l="1"/>
  <c r="CQ84" i="27" s="1"/>
  <c r="CN84" i="27"/>
  <c r="CO84" i="27"/>
  <c r="CK85" i="27"/>
  <c r="BQ83" i="27"/>
  <c r="BF83" i="27" s="1"/>
  <c r="AW83" i="27"/>
  <c r="AX83" i="27" s="1"/>
  <c r="N83" i="27" s="1"/>
  <c r="AE83" i="27" s="1"/>
  <c r="H83" i="27" s="1"/>
  <c r="AR83" i="27"/>
  <c r="AS83" i="27"/>
  <c r="AV83" i="27"/>
  <c r="AT83" i="27"/>
  <c r="AU83" i="27"/>
  <c r="CP85" i="27" l="1"/>
  <c r="CQ85" i="27" s="1"/>
  <c r="CK86" i="27"/>
  <c r="CO85" i="27"/>
  <c r="CN85" i="27"/>
  <c r="BQ84" i="27"/>
  <c r="BF84" i="27" s="1"/>
  <c r="AV84" i="27"/>
  <c r="AU84" i="27"/>
  <c r="AR84" i="27"/>
  <c r="AW84" i="27"/>
  <c r="AX84" i="27" s="1"/>
  <c r="N84" i="27" s="1"/>
  <c r="AE84" i="27" s="1"/>
  <c r="H84" i="27" s="1"/>
  <c r="AS84" i="27"/>
  <c r="AT84" i="27"/>
  <c r="CP86" i="27" l="1"/>
  <c r="CQ86" i="27" s="1"/>
  <c r="CN86" i="27"/>
  <c r="CK87" i="27"/>
  <c r="CO86" i="27"/>
  <c r="BQ85" i="27"/>
  <c r="BF85" i="27" s="1"/>
  <c r="AW85" i="27"/>
  <c r="AX85" i="27" s="1"/>
  <c r="N85" i="27" s="1"/>
  <c r="AE85" i="27" s="1"/>
  <c r="H85" i="27" s="1"/>
  <c r="AR85" i="27"/>
  <c r="AT85" i="27"/>
  <c r="AU85" i="27"/>
  <c r="AS85" i="27"/>
  <c r="AV85" i="27"/>
  <c r="CP87" i="27" l="1"/>
  <c r="CQ87" i="27" s="1"/>
  <c r="CK88" i="27"/>
  <c r="CN87" i="27"/>
  <c r="CO87" i="27"/>
  <c r="BQ86" i="27"/>
  <c r="BF86" i="27" s="1"/>
  <c r="AV86" i="27"/>
  <c r="AU86" i="27"/>
  <c r="AT86" i="27"/>
  <c r="AR86" i="27"/>
  <c r="AW86" i="27"/>
  <c r="AX86" i="27" s="1"/>
  <c r="N86" i="27" s="1"/>
  <c r="AE86" i="27" s="1"/>
  <c r="H86" i="27" s="1"/>
  <c r="AS86" i="27"/>
  <c r="CP88" i="27" l="1"/>
  <c r="CQ88" i="27" s="1"/>
  <c r="CK89" i="27"/>
  <c r="CO88" i="27"/>
  <c r="CN88" i="27"/>
  <c r="BQ87" i="27"/>
  <c r="BF87" i="27" s="1"/>
  <c r="AW87" i="27"/>
  <c r="AX87" i="27" s="1"/>
  <c r="N87" i="27" s="1"/>
  <c r="AE87" i="27" s="1"/>
  <c r="H87" i="27" s="1"/>
  <c r="AR87" i="27"/>
  <c r="AT87" i="27"/>
  <c r="AV87" i="27"/>
  <c r="AS87" i="27"/>
  <c r="AU87" i="27"/>
  <c r="CP89" i="27" l="1"/>
  <c r="CQ89" i="27" s="1"/>
  <c r="CK90" i="27"/>
  <c r="CN89" i="27"/>
  <c r="CO89" i="27"/>
  <c r="BQ88" i="27"/>
  <c r="BF88" i="27" s="1"/>
  <c r="AV88" i="27"/>
  <c r="AU88" i="27"/>
  <c r="AT88" i="27"/>
  <c r="AR88" i="27"/>
  <c r="AW88" i="27"/>
  <c r="AX88" i="27" s="1"/>
  <c r="N88" i="27" s="1"/>
  <c r="AE88" i="27" s="1"/>
  <c r="H88" i="27" s="1"/>
  <c r="AS88" i="27"/>
  <c r="CP90" i="27" l="1"/>
  <c r="CQ90" i="27" s="1"/>
  <c r="CN90" i="27"/>
  <c r="CO90" i="27"/>
  <c r="CK91" i="27"/>
  <c r="BQ89" i="27"/>
  <c r="BF89" i="27" s="1"/>
  <c r="AW89" i="27"/>
  <c r="AX89" i="27" s="1"/>
  <c r="N89" i="27" s="1"/>
  <c r="AE89" i="27" s="1"/>
  <c r="H89" i="27" s="1"/>
  <c r="AR89" i="27"/>
  <c r="AT89" i="27"/>
  <c r="AS89" i="27"/>
  <c r="AV89" i="27"/>
  <c r="AU89" i="27"/>
  <c r="CP91" i="27" l="1"/>
  <c r="CQ91" i="27" s="1"/>
  <c r="CK92" i="27"/>
  <c r="CN91" i="27"/>
  <c r="CO91" i="27"/>
  <c r="BQ90" i="27"/>
  <c r="BF90" i="27" s="1"/>
  <c r="AV90" i="27"/>
  <c r="AT90" i="27"/>
  <c r="AU90" i="27"/>
  <c r="AR90" i="27"/>
  <c r="AW90" i="27"/>
  <c r="AX90" i="27" s="1"/>
  <c r="N90" i="27" s="1"/>
  <c r="AE90" i="27" s="1"/>
  <c r="H90" i="27" s="1"/>
  <c r="AS90" i="27"/>
  <c r="CP92" i="27" l="1"/>
  <c r="CQ92" i="27" s="1"/>
  <c r="CN92" i="27"/>
  <c r="CK93" i="27"/>
  <c r="CO92" i="27"/>
  <c r="BQ91" i="27"/>
  <c r="BF91" i="27" s="1"/>
  <c r="AW91" i="27"/>
  <c r="AX91" i="27" s="1"/>
  <c r="N91" i="27" s="1"/>
  <c r="AE91" i="27" s="1"/>
  <c r="H91" i="27" s="1"/>
  <c r="AR91" i="27"/>
  <c r="AV91" i="27"/>
  <c r="AU91" i="27"/>
  <c r="AT91" i="27"/>
  <c r="AS91" i="27"/>
  <c r="CP93" i="27" l="1"/>
  <c r="CQ93" i="27" s="1"/>
  <c r="CK94" i="27"/>
  <c r="CN93" i="27"/>
  <c r="CO93" i="27"/>
  <c r="BQ92" i="27"/>
  <c r="BF92" i="27" s="1"/>
  <c r="AU92" i="27"/>
  <c r="AS92" i="27"/>
  <c r="AR92" i="27"/>
  <c r="AW92" i="27"/>
  <c r="AX92" i="27" s="1"/>
  <c r="N92" i="27" s="1"/>
  <c r="AE92" i="27" s="1"/>
  <c r="H92" i="27" s="1"/>
  <c r="AT92" i="27"/>
  <c r="AV92" i="27"/>
  <c r="CP94" i="27" l="1"/>
  <c r="CQ94" i="27" s="1"/>
  <c r="CN94" i="27"/>
  <c r="CK95" i="27"/>
  <c r="CO94" i="27"/>
  <c r="BQ93" i="27"/>
  <c r="BF93" i="27" s="1"/>
  <c r="AV93" i="27"/>
  <c r="AS93" i="27"/>
  <c r="AT93" i="27"/>
  <c r="AW93" i="27"/>
  <c r="AX93" i="27" s="1"/>
  <c r="N93" i="27" s="1"/>
  <c r="AE93" i="27" s="1"/>
  <c r="H93" i="27" s="1"/>
  <c r="AR93" i="27"/>
  <c r="AU93" i="27"/>
  <c r="CP95" i="27" l="1"/>
  <c r="CQ95" i="27" s="1"/>
  <c r="CK96" i="27"/>
  <c r="CN95" i="27"/>
  <c r="CO95" i="27"/>
  <c r="BQ94" i="27"/>
  <c r="BF94" i="27" s="1"/>
  <c r="AT94" i="27"/>
  <c r="AU94" i="27"/>
  <c r="AS94" i="27"/>
  <c r="AR94" i="27"/>
  <c r="AW94" i="27"/>
  <c r="AX94" i="27" s="1"/>
  <c r="N94" i="27" s="1"/>
  <c r="AE94" i="27" s="1"/>
  <c r="H94" i="27" s="1"/>
  <c r="AV94" i="27"/>
  <c r="CP96" i="27" l="1"/>
  <c r="CQ96" i="27" s="1"/>
  <c r="CN96" i="27"/>
  <c r="CK97" i="27"/>
  <c r="CO96" i="27"/>
  <c r="BQ95" i="27"/>
  <c r="BF95" i="27" s="1"/>
  <c r="AV95" i="27"/>
  <c r="AS95" i="27"/>
  <c r="AW95" i="27"/>
  <c r="AX95" i="27" s="1"/>
  <c r="N95" i="27" s="1"/>
  <c r="AE95" i="27" s="1"/>
  <c r="H95" i="27" s="1"/>
  <c r="AR95" i="27"/>
  <c r="AU95" i="27"/>
  <c r="AT95" i="27"/>
  <c r="CP97" i="27" l="1"/>
  <c r="CQ97" i="27" s="1"/>
  <c r="CK98" i="27"/>
  <c r="CN97" i="27"/>
  <c r="CO97" i="27"/>
  <c r="BQ96" i="27"/>
  <c r="BF96" i="27" s="1"/>
  <c r="AR96" i="27"/>
  <c r="AW96" i="27"/>
  <c r="AX96" i="27" s="1"/>
  <c r="N96" i="27" s="1"/>
  <c r="AE96" i="27" s="1"/>
  <c r="H96" i="27" s="1"/>
  <c r="AS96" i="27"/>
  <c r="AT96" i="27"/>
  <c r="AU96" i="27"/>
  <c r="AV96" i="27"/>
  <c r="CP98" i="27" l="1"/>
  <c r="CQ98" i="27" s="1"/>
  <c r="CN98" i="27"/>
  <c r="CO98" i="27"/>
  <c r="CK99" i="27"/>
  <c r="BQ97" i="27"/>
  <c r="BF97" i="27" s="1"/>
  <c r="AT97" i="27"/>
  <c r="AS97" i="27"/>
  <c r="AV97" i="27"/>
  <c r="AW97" i="27"/>
  <c r="AX97" i="27" s="1"/>
  <c r="N97" i="27" s="1"/>
  <c r="AE97" i="27" s="1"/>
  <c r="H97" i="27" s="1"/>
  <c r="AR97" i="27"/>
  <c r="AU97" i="27"/>
  <c r="CP99" i="27" l="1"/>
  <c r="CQ99" i="27" s="1"/>
  <c r="CK100" i="27"/>
  <c r="CN99" i="27"/>
  <c r="CO99" i="27"/>
  <c r="BQ98" i="27"/>
  <c r="BF98" i="27" s="1"/>
  <c r="AR98" i="27"/>
  <c r="AW98" i="27"/>
  <c r="AX98" i="27" s="1"/>
  <c r="N98" i="27" s="1"/>
  <c r="AE98" i="27" s="1"/>
  <c r="H98" i="27" s="1"/>
  <c r="AU98" i="27"/>
  <c r="AS98" i="27"/>
  <c r="AV98" i="27"/>
  <c r="AT98" i="27"/>
  <c r="CP100" i="27" l="1"/>
  <c r="CQ100" i="27" s="1"/>
  <c r="CK101" i="27"/>
  <c r="CO100" i="27"/>
  <c r="CN100" i="27"/>
  <c r="BQ99" i="27"/>
  <c r="BF99" i="27" s="1"/>
  <c r="AV99" i="27"/>
  <c r="AU99" i="27"/>
  <c r="AT99" i="27"/>
  <c r="AW99" i="27"/>
  <c r="AX99" i="27" s="1"/>
  <c r="N99" i="27" s="1"/>
  <c r="AE99" i="27" s="1"/>
  <c r="H99" i="27" s="1"/>
  <c r="AR99" i="27"/>
  <c r="AS99" i="27"/>
  <c r="CP101" i="27" l="1"/>
  <c r="CQ101" i="27" s="1"/>
  <c r="CK102" i="27"/>
  <c r="CN101" i="27"/>
  <c r="CO101" i="27"/>
  <c r="BQ100" i="27"/>
  <c r="BF100" i="27" s="1"/>
  <c r="AV100" i="27"/>
  <c r="AT100" i="27"/>
  <c r="AS100" i="27"/>
  <c r="AU100" i="27"/>
  <c r="AR100" i="27"/>
  <c r="AW100" i="27"/>
  <c r="AX100" i="27" s="1"/>
  <c r="N100" i="27" s="1"/>
  <c r="AE100" i="27" s="1"/>
  <c r="H100" i="27" s="1"/>
  <c r="CP102" i="27" l="1"/>
  <c r="CQ102" i="27" s="1"/>
  <c r="CK103" i="27"/>
  <c r="CN102" i="27"/>
  <c r="CO102" i="27"/>
  <c r="BQ101" i="27"/>
  <c r="BF101" i="27" s="1"/>
  <c r="AT101" i="27"/>
  <c r="AU101" i="27"/>
  <c r="AS101" i="27"/>
  <c r="AW101" i="27"/>
  <c r="AX101" i="27" s="1"/>
  <c r="N101" i="27" s="1"/>
  <c r="AE101" i="27" s="1"/>
  <c r="H101" i="27" s="1"/>
  <c r="AR101" i="27"/>
  <c r="AV101" i="27"/>
  <c r="CP103" i="27" l="1"/>
  <c r="CQ103" i="27" s="1"/>
  <c r="CK104" i="27"/>
  <c r="CN103" i="27"/>
  <c r="CO103" i="27"/>
  <c r="BQ102" i="27"/>
  <c r="BF102" i="27" s="1"/>
  <c r="AS102" i="27"/>
  <c r="AT102" i="27"/>
  <c r="AU102" i="27"/>
  <c r="AV102" i="27"/>
  <c r="AR102" i="27"/>
  <c r="AW102" i="27"/>
  <c r="AX102" i="27" s="1"/>
  <c r="N102" i="27" s="1"/>
  <c r="AE102" i="27" s="1"/>
  <c r="H102" i="27" s="1"/>
  <c r="CP104" i="27" l="1"/>
  <c r="CQ104" i="27" s="1"/>
  <c r="CK105" i="27"/>
  <c r="CN104" i="27"/>
  <c r="CO104" i="27"/>
  <c r="BQ103" i="27"/>
  <c r="BF103" i="27" s="1"/>
  <c r="AV103" i="27"/>
  <c r="AU103" i="27"/>
  <c r="AT103" i="27"/>
  <c r="AW103" i="27"/>
  <c r="AX103" i="27" s="1"/>
  <c r="N103" i="27" s="1"/>
  <c r="AE103" i="27" s="1"/>
  <c r="H103" i="27" s="1"/>
  <c r="AR103" i="27"/>
  <c r="AS103" i="27"/>
  <c r="CP105" i="27" l="1"/>
  <c r="CQ105" i="27" s="1"/>
  <c r="CK106" i="27"/>
  <c r="CN105" i="27"/>
  <c r="CO105" i="27"/>
  <c r="BQ104" i="27"/>
  <c r="BF104" i="27" s="1"/>
  <c r="AR104" i="27"/>
  <c r="AW104" i="27"/>
  <c r="AX104" i="27" s="1"/>
  <c r="N104" i="27" s="1"/>
  <c r="AE104" i="27" s="1"/>
  <c r="H104" i="27" s="1"/>
  <c r="AT104" i="27"/>
  <c r="AV104" i="27"/>
  <c r="AU104" i="27"/>
  <c r="AS104" i="27"/>
  <c r="BQ105" i="27" l="1"/>
  <c r="BF105" i="27" s="1"/>
  <c r="CP106" i="27"/>
  <c r="CQ106" i="27" s="1"/>
  <c r="CK107" i="27"/>
  <c r="CN106" i="27"/>
  <c r="CO106" i="27"/>
  <c r="AV105" i="27"/>
  <c r="AS105" i="27"/>
  <c r="AW105" i="27"/>
  <c r="AX105" i="27" s="1"/>
  <c r="N105" i="27" s="1"/>
  <c r="AE105" i="27" s="1"/>
  <c r="H105" i="27" s="1"/>
  <c r="AR105" i="27"/>
  <c r="AT105" i="27"/>
  <c r="AU105" i="27"/>
  <c r="CP107" i="27" l="1"/>
  <c r="CQ107" i="27" s="1"/>
  <c r="CK108" i="27"/>
  <c r="CN107" i="27"/>
  <c r="CO107" i="27"/>
  <c r="BQ106" i="27"/>
  <c r="BF106" i="27" s="1"/>
  <c r="AT106" i="27"/>
  <c r="AV106" i="27"/>
  <c r="AR106" i="27"/>
  <c r="AW106" i="27"/>
  <c r="AX106" i="27" s="1"/>
  <c r="N106" i="27" s="1"/>
  <c r="AE106" i="27" s="1"/>
  <c r="H106" i="27" s="1"/>
  <c r="AS106" i="27"/>
  <c r="AU106" i="27"/>
  <c r="CP108" i="27" l="1"/>
  <c r="CQ108" i="27" s="1"/>
  <c r="CK109" i="27"/>
  <c r="CN108" i="27"/>
  <c r="CO108" i="27"/>
  <c r="BQ107" i="27"/>
  <c r="BF107" i="27" s="1"/>
  <c r="AV107" i="27"/>
  <c r="AS107" i="27"/>
  <c r="AW107" i="27"/>
  <c r="AX107" i="27" s="1"/>
  <c r="N107" i="27" s="1"/>
  <c r="AE107" i="27" s="1"/>
  <c r="H107" i="27" s="1"/>
  <c r="AR107" i="27"/>
  <c r="AT107" i="27"/>
  <c r="AU107" i="27"/>
  <c r="BQ108" i="27" l="1"/>
  <c r="BF108" i="27" s="1"/>
  <c r="CP109" i="27"/>
  <c r="CQ109" i="27" s="1"/>
  <c r="CN109" i="27"/>
  <c r="CO109" i="27"/>
  <c r="AR108" i="27"/>
  <c r="AW108" i="27"/>
  <c r="AX108" i="27" s="1"/>
  <c r="N108" i="27" s="1"/>
  <c r="AE108" i="27" s="1"/>
  <c r="H108" i="27" s="1"/>
  <c r="AS108" i="27"/>
  <c r="AU108" i="27"/>
  <c r="AT108" i="27"/>
  <c r="AV108" i="27"/>
  <c r="AU109" i="27" l="1"/>
  <c r="AT109" i="27"/>
  <c r="AV109" i="27"/>
  <c r="AS109" i="27"/>
  <c r="AW109" i="27"/>
  <c r="AX109" i="27" s="1"/>
  <c r="AR109" i="27"/>
  <c r="O38" i="30" l="1"/>
  <c r="O39" i="30" s="1"/>
  <c r="M29" i="30"/>
  <c r="N29" i="30"/>
  <c r="P38" i="30"/>
  <c r="P39" i="30" s="1"/>
  <c r="Q38" i="30"/>
  <c r="Q39" i="30" s="1"/>
  <c r="N38" i="30"/>
  <c r="N39" i="30" s="1"/>
  <c r="R38" i="30"/>
  <c r="M38" i="30"/>
  <c r="M39" i="30" s="1"/>
  <c r="BQ109" i="27"/>
  <c r="BF109" i="27" s="1"/>
  <c r="O22" i="30"/>
  <c r="O18" i="30"/>
  <c r="O15" i="30"/>
  <c r="O16" i="30" s="1"/>
  <c r="O21" i="30"/>
  <c r="O11" i="30"/>
  <c r="O13" i="30"/>
  <c r="O12" i="30"/>
  <c r="O14" i="30"/>
  <c r="O19" i="30"/>
  <c r="O17" i="30"/>
  <c r="O20" i="30"/>
  <c r="N109" i="27"/>
  <c r="N39" i="14"/>
  <c r="O39" i="14"/>
  <c r="N42" i="14"/>
  <c r="P40" i="14"/>
  <c r="M17" i="14"/>
  <c r="Q39" i="14"/>
  <c r="M41" i="14"/>
  <c r="Q42" i="14"/>
  <c r="Q41" i="14"/>
  <c r="O41" i="14"/>
  <c r="M19" i="14"/>
  <c r="N41" i="14"/>
  <c r="P41" i="14"/>
  <c r="M40" i="14"/>
  <c r="M20" i="14"/>
  <c r="M39" i="14"/>
  <c r="M15" i="14"/>
  <c r="M11" i="14"/>
  <c r="O42" i="14"/>
  <c r="M18" i="14"/>
  <c r="M21" i="14"/>
  <c r="M42" i="14"/>
  <c r="P42" i="14"/>
  <c r="M12" i="14"/>
  <c r="M14" i="14"/>
  <c r="P39" i="14"/>
  <c r="N40" i="14"/>
  <c r="Q40" i="14"/>
  <c r="M13" i="14"/>
  <c r="O40" i="14"/>
  <c r="M22" i="14"/>
  <c r="BN2" i="27" l="1"/>
  <c r="BN102" i="27"/>
  <c r="BN97" i="27"/>
  <c r="BN98" i="27"/>
  <c r="BN34" i="27"/>
  <c r="BN11" i="27"/>
  <c r="BN75" i="27"/>
  <c r="BN52" i="27"/>
  <c r="BN29" i="27"/>
  <c r="BN6" i="27"/>
  <c r="BN70" i="27"/>
  <c r="BN55" i="27"/>
  <c r="BN40" i="27"/>
  <c r="BN25" i="27"/>
  <c r="BN22" i="27"/>
  <c r="BN71" i="27"/>
  <c r="BN79" i="27"/>
  <c r="BN20" i="27"/>
  <c r="BN28" i="27"/>
  <c r="BN16" i="27"/>
  <c r="BN73" i="27"/>
  <c r="BN105" i="27"/>
  <c r="BN100" i="27"/>
  <c r="BN86" i="27"/>
  <c r="BN42" i="27"/>
  <c r="BN19" i="27"/>
  <c r="BN83" i="27"/>
  <c r="BN60" i="27"/>
  <c r="BN37" i="27"/>
  <c r="BN14" i="27"/>
  <c r="BN78" i="27"/>
  <c r="BN63" i="27"/>
  <c r="BN48" i="27"/>
  <c r="BN33" i="27"/>
  <c r="BN56" i="27"/>
  <c r="BN15" i="27"/>
  <c r="BN49" i="27"/>
  <c r="BN38" i="27"/>
  <c r="BN8" i="27"/>
  <c r="BN74" i="27"/>
  <c r="BN108" i="27"/>
  <c r="BN103" i="27"/>
  <c r="BN88" i="27"/>
  <c r="BN50" i="27"/>
  <c r="BN27" i="27"/>
  <c r="BN4" i="27"/>
  <c r="BN68" i="27"/>
  <c r="BN45" i="27"/>
  <c r="BN7" i="27"/>
  <c r="BN41" i="27"/>
  <c r="BN61" i="27"/>
  <c r="BN57" i="27"/>
  <c r="BN5" i="27"/>
  <c r="BN80" i="27"/>
  <c r="BN17" i="27"/>
  <c r="BN87" i="27"/>
  <c r="BN106" i="27"/>
  <c r="BN104" i="27"/>
  <c r="BN58" i="27"/>
  <c r="BN35" i="27"/>
  <c r="BN12" i="27"/>
  <c r="BN76" i="27"/>
  <c r="BN53" i="27"/>
  <c r="BN30" i="27"/>
  <c r="BN64" i="27"/>
  <c r="BN84" i="27"/>
  <c r="BN72" i="27"/>
  <c r="BN69" i="27"/>
  <c r="BN46" i="27"/>
  <c r="BN9" i="27"/>
  <c r="BN81" i="27"/>
  <c r="R39" i="30"/>
  <c r="BN90" i="27"/>
  <c r="BN109" i="27"/>
  <c r="BN92" i="27"/>
  <c r="BN66" i="27"/>
  <c r="BN43" i="27"/>
  <c r="BN23" i="27"/>
  <c r="BN31" i="27"/>
  <c r="BN24" i="27"/>
  <c r="BN91" i="27"/>
  <c r="BN93" i="27"/>
  <c r="BN89" i="27"/>
  <c r="BN10" i="27"/>
  <c r="BN51" i="27"/>
  <c r="BN65" i="27"/>
  <c r="BN99" i="27"/>
  <c r="BN96" i="27"/>
  <c r="BN95" i="27"/>
  <c r="BN18" i="27"/>
  <c r="BN82" i="27"/>
  <c r="BN59" i="27"/>
  <c r="BN36" i="27"/>
  <c r="BN13" i="27"/>
  <c r="BN77" i="27"/>
  <c r="BN54" i="27"/>
  <c r="BN39" i="27"/>
  <c r="BN107" i="27"/>
  <c r="BN94" i="27"/>
  <c r="BN101" i="27"/>
  <c r="BN26" i="27"/>
  <c r="BN3" i="27"/>
  <c r="BN67" i="27"/>
  <c r="BN44" i="27"/>
  <c r="BN21" i="27"/>
  <c r="BN85" i="27"/>
  <c r="BN62" i="27"/>
  <c r="BN47" i="27"/>
  <c r="BN32" i="27"/>
  <c r="O34" i="14"/>
  <c r="O35" i="14" s="1"/>
  <c r="R34" i="14"/>
  <c r="P16" i="14" s="1"/>
  <c r="P34" i="14"/>
  <c r="P35" i="14" s="1"/>
  <c r="Q34" i="14"/>
  <c r="Q35" i="14" s="1"/>
  <c r="M16" i="14"/>
  <c r="N34" i="14"/>
  <c r="N35" i="14" s="1"/>
  <c r="M34" i="14"/>
  <c r="M35" i="14" s="1"/>
  <c r="AE109" i="27"/>
  <c r="H109" i="27" s="1"/>
  <c r="Y82" i="27" l="1"/>
  <c r="Y32" i="27"/>
  <c r="Y67" i="27"/>
  <c r="Y60" i="27"/>
  <c r="Y30" i="27"/>
  <c r="Y107" i="27"/>
  <c r="Y90" i="27"/>
  <c r="Y77" i="27"/>
  <c r="Y34" i="27"/>
  <c r="R35" i="14"/>
  <c r="Y57" i="27"/>
  <c r="Y75" i="27"/>
  <c r="Y18" i="27"/>
  <c r="Y79" i="27"/>
  <c r="Y99" i="27"/>
  <c r="Y85" i="27"/>
  <c r="Y80" i="27"/>
  <c r="Y101" i="27"/>
  <c r="Y96" i="27"/>
  <c r="Y17" i="27"/>
  <c r="Y5" i="27"/>
  <c r="Y98" i="27"/>
  <c r="Y65" i="27"/>
  <c r="Y42" i="27"/>
  <c r="Y44" i="27"/>
  <c r="Y29" i="27"/>
  <c r="Y58" i="27"/>
  <c r="Y40" i="27"/>
  <c r="Y38" i="27"/>
  <c r="Y48" i="27"/>
  <c r="Y51" i="27"/>
  <c r="Y53" i="27"/>
  <c r="Y64" i="27"/>
  <c r="Y106" i="27"/>
  <c r="Y55" i="27"/>
  <c r="Y19" i="27"/>
  <c r="Y105" i="27"/>
  <c r="Y72" i="27"/>
  <c r="Y27" i="27"/>
  <c r="Y49" i="27"/>
  <c r="Y94" i="27"/>
  <c r="Y9" i="27"/>
  <c r="Y36" i="27"/>
  <c r="Y88" i="27"/>
  <c r="Y83" i="27"/>
  <c r="Y10" i="27"/>
  <c r="Y43" i="27"/>
  <c r="Y45" i="27"/>
  <c r="Y68" i="27"/>
  <c r="Y78" i="27"/>
  <c r="Y50" i="27"/>
  <c r="Y52" i="27"/>
  <c r="Y47" i="27"/>
  <c r="Y8" i="27"/>
  <c r="Y15" i="27"/>
  <c r="Y12" i="27"/>
  <c r="Y84" i="27"/>
  <c r="Y91" i="27"/>
  <c r="Y61" i="27"/>
  <c r="Y74" i="27"/>
  <c r="Y28" i="27"/>
  <c r="Y6" i="27"/>
  <c r="Y73" i="27"/>
  <c r="Y16" i="27"/>
  <c r="Y2" i="27"/>
  <c r="Y14" i="27"/>
  <c r="Y104" i="27"/>
  <c r="Y95" i="27"/>
  <c r="Y109" i="27"/>
  <c r="Y3" i="27"/>
  <c r="Y25" i="27"/>
  <c r="Y70" i="27"/>
  <c r="Y41" i="27"/>
  <c r="Y26" i="27"/>
  <c r="Y21" i="27"/>
  <c r="Y92" i="27"/>
  <c r="Y56" i="27"/>
  <c r="Y37" i="27"/>
  <c r="Y22" i="27"/>
  <c r="Y46" i="27"/>
  <c r="Y103" i="27"/>
  <c r="Y13" i="27"/>
  <c r="Y108" i="27"/>
  <c r="Y69" i="27"/>
  <c r="Y81" i="27"/>
  <c r="Y7" i="27"/>
  <c r="Y87" i="27"/>
  <c r="Y63" i="27"/>
  <c r="Y33" i="27"/>
  <c r="Y35" i="27"/>
  <c r="Y102" i="27"/>
  <c r="Y31" i="27"/>
  <c r="Y59" i="27"/>
  <c r="Y97" i="27"/>
  <c r="Y86" i="27"/>
  <c r="Y100" i="27"/>
  <c r="Y23" i="27"/>
  <c r="Y24" i="27"/>
  <c r="Y11" i="27"/>
  <c r="Y71" i="27"/>
  <c r="Y93" i="27"/>
  <c r="Y54" i="27"/>
  <c r="Y39" i="27"/>
  <c r="Y66" i="27"/>
  <c r="Y4" i="27"/>
  <c r="Y62" i="27"/>
  <c r="Y76" i="27"/>
  <c r="Y89" i="27"/>
  <c r="Y20" i="27"/>
</calcChain>
</file>

<file path=xl/sharedStrings.xml><?xml version="1.0" encoding="utf-8"?>
<sst xmlns="http://schemas.openxmlformats.org/spreadsheetml/2006/main" count="1090" uniqueCount="299">
  <si>
    <t>CARIMA</t>
  </si>
  <si>
    <t>86159 Augsburg</t>
  </si>
  <si>
    <t>rf</t>
  </si>
  <si>
    <t>global</t>
  </si>
  <si>
    <t>BMG</t>
  </si>
  <si>
    <t>SMB</t>
  </si>
  <si>
    <t>HML</t>
  </si>
  <si>
    <t>WML</t>
  </si>
  <si>
    <t>Minimum</t>
  </si>
  <si>
    <t>Maximum</t>
  </si>
  <si>
    <t>Kurtosis</t>
  </si>
  <si>
    <t>Alpha</t>
  </si>
  <si>
    <t>Beta SMB</t>
  </si>
  <si>
    <t>Beta HML</t>
  </si>
  <si>
    <t>Beta WML</t>
  </si>
  <si>
    <t>CAPM</t>
  </si>
  <si>
    <t>Sharpe Ratio</t>
  </si>
  <si>
    <t>Median</t>
  </si>
  <si>
    <t>IBM</t>
  </si>
  <si>
    <t>Gazprom</t>
  </si>
  <si>
    <t>Tata Motors</t>
  </si>
  <si>
    <t>Rolling Beta</t>
  </si>
  <si>
    <t>Beta BMG</t>
  </si>
  <si>
    <t>Vestas</t>
  </si>
  <si>
    <t>BP</t>
  </si>
  <si>
    <t>Toyota</t>
  </si>
  <si>
    <t>Philips</t>
  </si>
  <si>
    <t>Adobe</t>
  </si>
  <si>
    <t>Johnson &amp; Johnson</t>
  </si>
  <si>
    <t>Country</t>
  </si>
  <si>
    <t>Carbon Beta</t>
  </si>
  <si>
    <t>United Arab Emirates</t>
  </si>
  <si>
    <t>Argentina</t>
  </si>
  <si>
    <t>Austria</t>
  </si>
  <si>
    <t>Australia</t>
  </si>
  <si>
    <t>Bangladesh</t>
  </si>
  <si>
    <t>Belgium</t>
  </si>
  <si>
    <t>Bulgaria</t>
  </si>
  <si>
    <t>Brazil</t>
  </si>
  <si>
    <t>Canada</t>
  </si>
  <si>
    <t>Switzerland</t>
  </si>
  <si>
    <t>Ivory Coast</t>
  </si>
  <si>
    <t>Chile</t>
  </si>
  <si>
    <t>China</t>
  </si>
  <si>
    <t>Colombia</t>
  </si>
  <si>
    <t>Northern Cyprus</t>
  </si>
  <si>
    <t>Czech Republic</t>
  </si>
  <si>
    <t>Germany</t>
  </si>
  <si>
    <t>Denmark</t>
  </si>
  <si>
    <t>Estonia</t>
  </si>
  <si>
    <t>Egypt</t>
  </si>
  <si>
    <t>Spain</t>
  </si>
  <si>
    <t>Finland</t>
  </si>
  <si>
    <t>France</t>
  </si>
  <si>
    <t>United Kingdom</t>
  </si>
  <si>
    <t>Greece</t>
  </si>
  <si>
    <t>Croatia</t>
  </si>
  <si>
    <t>Hungary</t>
  </si>
  <si>
    <t>Indonesia</t>
  </si>
  <si>
    <t>Ireland</t>
  </si>
  <si>
    <t>Israel</t>
  </si>
  <si>
    <t>India</t>
  </si>
  <si>
    <t>Iceland</t>
  </si>
  <si>
    <t>Italy</t>
  </si>
  <si>
    <t>Jamaica</t>
  </si>
  <si>
    <t>Jordan</t>
  </si>
  <si>
    <t>Japan</t>
  </si>
  <si>
    <t>Kenya</t>
  </si>
  <si>
    <t>South Korea</t>
  </si>
  <si>
    <t>Kuwait</t>
  </si>
  <si>
    <t>Kazakhstan</t>
  </si>
  <si>
    <t>Sri Lanka</t>
  </si>
  <si>
    <t>Lithuania</t>
  </si>
  <si>
    <t>Luxembourg</t>
  </si>
  <si>
    <t>Latvia</t>
  </si>
  <si>
    <t>Morocco</t>
  </si>
  <si>
    <t>Macedonia</t>
  </si>
  <si>
    <t>Mexico</t>
  </si>
  <si>
    <t>Malaysia</t>
  </si>
  <si>
    <t>Nigeria</t>
  </si>
  <si>
    <t>Netherlands</t>
  </si>
  <si>
    <t>Norway</t>
  </si>
  <si>
    <t>New Zealand</t>
  </si>
  <si>
    <t>Oman</t>
  </si>
  <si>
    <t>Peru</t>
  </si>
  <si>
    <t>Papua New Guinea</t>
  </si>
  <si>
    <t>Philippines</t>
  </si>
  <si>
    <t>Pakistan</t>
  </si>
  <si>
    <t>Poland</t>
  </si>
  <si>
    <t>Portugal</t>
  </si>
  <si>
    <t>Qatar</t>
  </si>
  <si>
    <t>Romania</t>
  </si>
  <si>
    <t>Republic of Serbia</t>
  </si>
  <si>
    <t>Russia</t>
  </si>
  <si>
    <t>Saudi Arabia</t>
  </si>
  <si>
    <t>Sweden</t>
  </si>
  <si>
    <t>Slovenia</t>
  </si>
  <si>
    <t>Slovakia</t>
  </si>
  <si>
    <t>Thailand</t>
  </si>
  <si>
    <t>Tunisia</t>
  </si>
  <si>
    <t>Turkey</t>
  </si>
  <si>
    <t>Taiwan</t>
  </si>
  <si>
    <t>Ukraine</t>
  </si>
  <si>
    <t>United States of America</t>
  </si>
  <si>
    <t>Vietnam</t>
  </si>
  <si>
    <t>South Africa</t>
  </si>
  <si>
    <t>Zimbabwe</t>
  </si>
  <si>
    <t>USA</t>
  </si>
  <si>
    <t>Q1</t>
  </si>
  <si>
    <t>Q3</t>
  </si>
  <si>
    <t>Bottom</t>
  </si>
  <si>
    <t>2QBox</t>
  </si>
  <si>
    <t>3QBox</t>
  </si>
  <si>
    <t>Whisker-</t>
  </si>
  <si>
    <t>Whisker+</t>
  </si>
  <si>
    <t>Bahrain</t>
  </si>
  <si>
    <t>Benin</t>
  </si>
  <si>
    <t>Bosnia and Herzegovina</t>
  </si>
  <si>
    <t>Greenland</t>
  </si>
  <si>
    <t>Hong Kong</t>
  </si>
  <si>
    <t>Liechtenstein</t>
  </si>
  <si>
    <t>Malta</t>
  </si>
  <si>
    <t>Mauritius</t>
  </si>
  <si>
    <t>Monaco</t>
  </si>
  <si>
    <t>Puerto Rico</t>
  </si>
  <si>
    <t>Singapore</t>
  </si>
  <si>
    <t>Sudan</t>
  </si>
  <si>
    <t>Togo</t>
  </si>
  <si>
    <t>Myanmar</t>
  </si>
  <si>
    <t>Portfolio</t>
  </si>
  <si>
    <t>Asset | Asset</t>
  </si>
  <si>
    <t>Portfolio Carbon Beta</t>
  </si>
  <si>
    <t>Portfolio Carbon Beta rolling</t>
  </si>
  <si>
    <t>Portfolio | Factor</t>
  </si>
  <si>
    <t>Portfolios</t>
  </si>
  <si>
    <t>Hedging</t>
  </si>
  <si>
    <t>Factor Investing</t>
  </si>
  <si>
    <t>Portfolio Management</t>
  </si>
  <si>
    <t>ProShares UltraShort Oil &amp; Gas</t>
  </si>
  <si>
    <t>iShares MSCI World ETF</t>
  </si>
  <si>
    <t>RobecoSAM Sustainable EE</t>
  </si>
  <si>
    <t>LO Funds Generation</t>
  </si>
  <si>
    <t>UniNachhaltig Aktien G</t>
  </si>
  <si>
    <t>Beta Term</t>
  </si>
  <si>
    <t>Beta Default</t>
  </si>
  <si>
    <t>Beta 1-3-CB</t>
  </si>
  <si>
    <t>Beta 3-5-CB</t>
  </si>
  <si>
    <t>Beta 5-7-CB</t>
  </si>
  <si>
    <t>Beta 7-10-CB</t>
  </si>
  <si>
    <t>Beta 1-10-HY-CB</t>
  </si>
  <si>
    <t>Beta 1-10-GB</t>
  </si>
  <si>
    <t>Rydex  VaR Dow</t>
  </si>
  <si>
    <t>iShares Global Clean Energy ETF USD Dist</t>
  </si>
  <si>
    <t>Carbon Betas</t>
  </si>
  <si>
    <t>Asset</t>
  </si>
  <si>
    <t>Portfolio Return</t>
  </si>
  <si>
    <r>
      <t>er</t>
    </r>
    <r>
      <rPr>
        <b/>
        <vertAlign val="subscript"/>
        <sz val="11"/>
        <color theme="1"/>
        <rFont val="Calibri"/>
        <family val="2"/>
        <scheme val="minor"/>
      </rPr>
      <t>M</t>
    </r>
  </si>
  <si>
    <r>
      <t>er</t>
    </r>
    <r>
      <rPr>
        <vertAlign val="subscript"/>
        <sz val="10"/>
        <rFont val="Calibri"/>
        <family val="2"/>
        <scheme val="minor"/>
      </rPr>
      <t>M</t>
    </r>
  </si>
  <si>
    <t>Beta MKT</t>
  </si>
  <si>
    <t>Verein für Umweltmanagement und Nachhaltigkeit in Finanzinstituten e.V.</t>
  </si>
  <si>
    <t>Markt Faktor</t>
  </si>
  <si>
    <t>#EBF0F2</t>
  </si>
  <si>
    <t>Best-in-class</t>
  </si>
  <si>
    <t>Worst-in-class</t>
  </si>
  <si>
    <t>Best-in-class Portfolio</t>
  </si>
  <si>
    <t>Worst-in-class Portfolio</t>
  </si>
  <si>
    <t>Rolling Beta*</t>
  </si>
  <si>
    <t>Term</t>
  </si>
  <si>
    <t>Def</t>
  </si>
  <si>
    <t>XL Toolbox Settings</t>
  </si>
  <si>
    <t>export_path</t>
  </si>
  <si>
    <t>export_preset</t>
  </si>
  <si>
    <t>&lt;?xml version="1.0" encoding="utf-16"?&gt;_x000D_
&lt;Preset xmlns:xsi="http://www.w3.org/2001/XMLSchema-instance" xmlns:xsd="http://www.w3.org/2001/XMLSchema"&gt;_x000D_
  &lt;Name&gt;Tiff, 600 dpi, CMYK, Weiße Leinwand, Farbmanagement&lt;/Name&gt;_x000D_
  &lt;Dpi&gt;600&lt;/Dpi&gt;_x000D_
  &lt;FileType&gt;Tiff&lt;/FileType&gt;_x000D_
  &lt;ColorSpace&gt;Cmyk&lt;/ColorSpace&gt;_x000D_
  &lt;Transparency&gt;TransparentCanvas&lt;/Transparency&gt;_x000D_
  &lt;UseColorProfile&gt;true&lt;/UseColorProfile&gt;_x000D_
  &lt;ColorProfile&gt;RSWOP&lt;/ColorProfile&gt;_x000D_
&lt;/Preset&gt;</t>
  </si>
  <si>
    <t>C:\Users\goergema\Documents\Grafiken Kapitel 3\AB Fonds\AB Fonds Abbildung.tif</t>
  </si>
  <si>
    <t xml:space="preserve"> VaR 99%</t>
  </si>
  <si>
    <t xml:space="preserve"> VaR 95%</t>
  </si>
  <si>
    <t>C VaR 99%</t>
  </si>
  <si>
    <t>C VaR 95%</t>
  </si>
  <si>
    <t>1-3-CB</t>
  </si>
  <si>
    <t>3-5-CB</t>
  </si>
  <si>
    <t>5-7-CB</t>
  </si>
  <si>
    <t>7-10-CB</t>
  </si>
  <si>
    <r>
      <t>10</t>
    </r>
    <r>
      <rPr>
        <b/>
        <vertAlign val="superscript"/>
        <sz val="11"/>
        <color theme="1"/>
        <rFont val="Calibri"/>
        <family val="2"/>
        <scheme val="minor"/>
      </rPr>
      <t>+</t>
    </r>
    <r>
      <rPr>
        <b/>
        <sz val="11"/>
        <color theme="1"/>
        <rFont val="Calibri"/>
        <family val="2"/>
        <scheme val="minor"/>
      </rPr>
      <t>-CB</t>
    </r>
  </si>
  <si>
    <t>1-10-HY-CB</t>
  </si>
  <si>
    <t>1-10-GB</t>
  </si>
  <si>
    <t>Triodos Sustainable Equity</t>
  </si>
  <si>
    <t>Imprint</t>
  </si>
  <si>
    <t>Chapter 3</t>
  </si>
  <si>
    <t>Chapter 4</t>
  </si>
  <si>
    <t>Chapter 5</t>
  </si>
  <si>
    <t>Input Data</t>
  </si>
  <si>
    <t xml:space="preserve">Carbon Risk Management </t>
  </si>
  <si>
    <t>Contact</t>
  </si>
  <si>
    <t>University of Augsburg</t>
  </si>
  <si>
    <t>Universitaetsstrasse 16</t>
  </si>
  <si>
    <t>Ravenspurgerstrasse 41</t>
  </si>
  <si>
    <t>If you find an error in this file or have suggestions for improvement, please feel free to contact one of the contacts above.</t>
  </si>
  <si>
    <t>This file may only be used for non-commercial purposes.</t>
  </si>
  <si>
    <t>Equities</t>
  </si>
  <si>
    <t>Universe</t>
  </si>
  <si>
    <t>Time Series</t>
  </si>
  <si>
    <t>Start Date</t>
  </si>
  <si>
    <t>End Date</t>
  </si>
  <si>
    <t># Months</t>
  </si>
  <si>
    <t>Figure Settings</t>
  </si>
  <si>
    <t>Ratio | Asset</t>
  </si>
  <si>
    <t>Ratio</t>
  </si>
  <si>
    <t>Ratio | Factor</t>
  </si>
  <si>
    <t>Descriptive Statistics</t>
  </si>
  <si>
    <t>Asset Correlations</t>
  </si>
  <si>
    <t>Regression Results</t>
  </si>
  <si>
    <t>Asset | Factor</t>
  </si>
  <si>
    <r>
      <t xml:space="preserve">Please use only the </t>
    </r>
    <r>
      <rPr>
        <b/>
        <sz val="12"/>
        <color rgb="FF8B4513"/>
        <rFont val="Calibri"/>
        <family val="2"/>
        <scheme val="minor"/>
      </rPr>
      <t>brown</t>
    </r>
    <r>
      <rPr>
        <b/>
        <sz val="12"/>
        <color theme="0"/>
        <rFont val="Calibri"/>
        <family val="2"/>
        <scheme val="minor"/>
      </rPr>
      <t xml:space="preserve"> field for input</t>
    </r>
  </si>
  <si>
    <t>Mean</t>
  </si>
  <si>
    <t>Volatility</t>
  </si>
  <si>
    <t>5% Quantile</t>
  </si>
  <si>
    <t>10% Quantile</t>
  </si>
  <si>
    <t>90% Quantile</t>
  </si>
  <si>
    <t>95% Quantile</t>
  </si>
  <si>
    <t>Skewness</t>
  </si>
  <si>
    <t>*change examples in the sheet "Asset Returns"</t>
  </si>
  <si>
    <t>monthly</t>
  </si>
  <si>
    <t>p-value</t>
  </si>
  <si>
    <t>Moving Mean</t>
  </si>
  <si>
    <t>Moving Minimum</t>
  </si>
  <si>
    <t>Moving Maximum</t>
  </si>
  <si>
    <t>Moving Volatility</t>
  </si>
  <si>
    <t>Moving VaR</t>
  </si>
  <si>
    <t>Risk Factor Correlations</t>
  </si>
  <si>
    <t>Factor | Factor</t>
  </si>
  <si>
    <t>Model | Factor</t>
  </si>
  <si>
    <t>Risk Factor Spanning Regressions</t>
  </si>
  <si>
    <t>Investor Perspective</t>
  </si>
  <si>
    <t>Ratio | Capital</t>
  </si>
  <si>
    <t>*60 months rolling regressions</t>
  </si>
  <si>
    <t>Single</t>
  </si>
  <si>
    <t>Weighted</t>
  </si>
  <si>
    <t>Single Betas**</t>
  </si>
  <si>
    <t>**Display single Carbon Betas</t>
  </si>
  <si>
    <t>*Starting weights are time-constant</t>
  </si>
  <si>
    <t>Constant Weightings</t>
  </si>
  <si>
    <t>Philips Bond</t>
  </si>
  <si>
    <t>IBM Bond</t>
  </si>
  <si>
    <t>Bonds</t>
  </si>
  <si>
    <t>Funds</t>
  </si>
  <si>
    <t>Carbon Beta Threshold (Top)</t>
  </si>
  <si>
    <t>Carbon Beta Threshold (Bottom)</t>
  </si>
  <si>
    <t>Serbia</t>
  </si>
  <si>
    <t>UAE</t>
  </si>
  <si>
    <t>Energy</t>
  </si>
  <si>
    <t>Basic Materials</t>
  </si>
  <si>
    <t>Utilities</t>
  </si>
  <si>
    <t>Real Estate</t>
  </si>
  <si>
    <t>Healthcare</t>
  </si>
  <si>
    <t>Communication Services</t>
  </si>
  <si>
    <t>Consumer Cyclical</t>
  </si>
  <si>
    <t>Financial Services</t>
  </si>
  <si>
    <t>Consumer Defensive</t>
  </si>
  <si>
    <t>Industry</t>
  </si>
  <si>
    <t>Technology</t>
  </si>
  <si>
    <t>Sector</t>
  </si>
  <si>
    <t>Weights</t>
  </si>
  <si>
    <t>*starting weights are time-constant</t>
  </si>
  <si>
    <t>Variation of Carbon Beta</t>
  </si>
  <si>
    <t>Investor Portfolio</t>
  </si>
  <si>
    <t>Month</t>
  </si>
  <si>
    <t>Equity</t>
  </si>
  <si>
    <t>Carbon Risk Factor</t>
  </si>
  <si>
    <t>Countries</t>
  </si>
  <si>
    <t>Sectors</t>
  </si>
  <si>
    <t>Financial Sector</t>
  </si>
  <si>
    <t>d1_bmg_fin_Mean</t>
  </si>
  <si>
    <t>d1_bmg_banks_Mean</t>
  </si>
  <si>
    <t>Starting Weights=Starting Value x Return (=Excess Return + rf)</t>
  </si>
  <si>
    <t>Starting Weights</t>
  </si>
  <si>
    <t>Portfolio Value</t>
  </si>
  <si>
    <t>Figure</t>
  </si>
  <si>
    <t>„Green" Portfolio</t>
  </si>
  <si>
    <t>„Brown" Portfolio</t>
  </si>
  <si>
    <t>Investment Universe</t>
  </si>
  <si>
    <t>Slide</t>
  </si>
  <si>
    <t>Expected Return</t>
  </si>
  <si>
    <t>Green</t>
  </si>
  <si>
    <t>Brown</t>
  </si>
  <si>
    <t>Min</t>
  </si>
  <si>
    <t>Max</t>
  </si>
  <si>
    <t>US GI World Precious Minerals</t>
  </si>
  <si>
    <t xml:space="preserve">This Excel was developed by the Chair of Finance and Banking at the University of Augsburg in close cooperation with the Verein für Umweltmanagement und Nachhaltigkeit in Finanzinstituten (VfU) e.V. as part of the joint project "CARIMA". The joint project was funded by the German Federal Ministry of Education and Research (BMBF).
</t>
  </si>
  <si>
    <t>Chair of Finance and Banking</t>
  </si>
  <si>
    <t>© Chair of Finance and Banking,
Verein für Umweltmanagement und Nachhaltigkeit in Finanzinstituten e.V. - 2019</t>
  </si>
  <si>
    <t>86150 Augsburg</t>
  </si>
  <si>
    <t>Constant Weightings*</t>
  </si>
  <si>
    <t>*all moving windows include 36 months</t>
  </si>
  <si>
    <t>Last Updated: 02.07.2019</t>
  </si>
  <si>
    <t>*Table shows carbon betas from banks</t>
  </si>
  <si>
    <t>Carhart</t>
  </si>
  <si>
    <t>Fama and French</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</si>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</sst>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00\ _€_-;\-* #,##0.00\ _€_-;_-* &quot;-&quot;??\ _€_-;_-@_-"/>
    <numFmt numFmtId="165" formatCode="[$-409]mmm\-yy;@"/>
    <numFmt numFmtId="166" formatCode="0.0000"/>
    <numFmt numFmtId="167" formatCode="0.000"/>
    <numFmt numFmtId="168" formatCode="#,##0.00000"/>
    <numFmt numFmtId="169" formatCode="[$-407]mmm/\ yy;@"/>
    <numFmt numFmtId="170" formatCode="0.00000"/>
  </numFmts>
  <fonts count="35">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name val="Calibri"/>
      <family val="2"/>
      <scheme val="minor"/>
    </font>
    <font>
      <sz val="10"/>
      <name val="Arial"/>
      <family val="2"/>
    </font>
    <font>
      <b/>
      <sz val="11"/>
      <name val="Calibri"/>
      <family val="2"/>
      <scheme val="minor"/>
    </font>
    <font>
      <sz val="10"/>
      <name val="Univers"/>
      <family val="2"/>
    </font>
    <font>
      <sz val="11"/>
      <color indexed="8"/>
      <name val="Calibri"/>
      <family val="2"/>
    </font>
    <font>
      <b/>
      <sz val="11"/>
      <color indexed="8"/>
      <name val="Calibri"/>
      <family val="2"/>
    </font>
    <font>
      <b/>
      <sz val="14"/>
      <color theme="0"/>
      <name val="Calibri"/>
      <family val="2"/>
      <scheme val="minor"/>
    </font>
    <font>
      <sz val="10"/>
      <color theme="0"/>
      <name val="Calibri"/>
      <family val="2"/>
      <scheme val="minor"/>
    </font>
    <font>
      <b/>
      <sz val="12"/>
      <color theme="0"/>
      <name val="Calibri"/>
      <family val="2"/>
      <scheme val="minor"/>
    </font>
    <font>
      <sz val="10"/>
      <color theme="0"/>
      <name val="Arial"/>
      <family val="2"/>
    </font>
    <font>
      <sz val="12"/>
      <color theme="0"/>
      <name val="Calibri"/>
      <family val="2"/>
      <scheme val="minor"/>
    </font>
    <font>
      <i/>
      <sz val="10"/>
      <name val="Calibri"/>
      <family val="2"/>
      <scheme val="minor"/>
    </font>
    <font>
      <sz val="10"/>
      <color theme="1"/>
      <name val="Calibri"/>
      <family val="2"/>
      <scheme val="minor"/>
    </font>
    <font>
      <i/>
      <sz val="10"/>
      <color theme="0"/>
      <name val="Calibri"/>
      <family val="2"/>
      <scheme val="minor"/>
    </font>
    <font>
      <sz val="8"/>
      <color theme="1"/>
      <name val="Calibri"/>
      <family val="2"/>
      <scheme val="minor"/>
    </font>
    <font>
      <sz val="14"/>
      <color theme="0"/>
      <name val="Calibri"/>
      <family val="2"/>
      <scheme val="minor"/>
    </font>
    <font>
      <b/>
      <sz val="16"/>
      <color theme="0"/>
      <name val="Calibri"/>
      <family val="2"/>
      <scheme val="minor"/>
    </font>
    <font>
      <sz val="16"/>
      <color theme="0"/>
      <name val="Calibri"/>
      <family val="2"/>
      <scheme val="minor"/>
    </font>
    <font>
      <b/>
      <sz val="10"/>
      <name val="Calibri"/>
      <family val="2"/>
      <scheme val="minor"/>
    </font>
    <font>
      <b/>
      <i/>
      <sz val="10"/>
      <color theme="0"/>
      <name val="Calibri"/>
      <family val="2"/>
      <scheme val="minor"/>
    </font>
    <font>
      <sz val="12"/>
      <color rgb="FF5A5A5A"/>
      <name val="Consolas"/>
      <family val="3"/>
    </font>
    <font>
      <sz val="10"/>
      <color theme="1"/>
      <name val="Verdana"/>
      <family val="2"/>
    </font>
    <font>
      <b/>
      <sz val="10"/>
      <color theme="0"/>
      <name val="Calibri"/>
      <family val="2"/>
      <scheme val="minor"/>
    </font>
    <font>
      <b/>
      <i/>
      <sz val="10"/>
      <name val="Calibri"/>
      <family val="2"/>
      <scheme val="minor"/>
    </font>
    <font>
      <vertAlign val="subscript"/>
      <sz val="10"/>
      <name val="Calibri"/>
      <family val="2"/>
      <scheme val="minor"/>
    </font>
    <font>
      <b/>
      <vertAlign val="subscript"/>
      <sz val="11"/>
      <color theme="1"/>
      <name val="Calibri"/>
      <family val="2"/>
      <scheme val="minor"/>
    </font>
    <font>
      <b/>
      <sz val="12"/>
      <color rgb="FF8B4513"/>
      <name val="Calibri"/>
      <family val="2"/>
      <scheme val="minor"/>
    </font>
    <font>
      <sz val="11"/>
      <color rgb="FF8B4513"/>
      <name val="Calibri"/>
      <family val="2"/>
      <scheme val="minor"/>
    </font>
    <font>
      <b/>
      <vertAlign val="superscript"/>
      <sz val="11"/>
      <color theme="1"/>
      <name val="Calibri"/>
      <family val="2"/>
      <scheme val="minor"/>
    </font>
  </fonts>
  <fills count="11">
    <fill>
      <patternFill patternType="none"/>
    </fill>
    <fill>
      <patternFill patternType="gray125"/>
    </fill>
    <fill>
      <patternFill patternType="solid">
        <fgColor indexed="9"/>
        <bgColor indexed="64"/>
      </patternFill>
    </fill>
    <fill>
      <patternFill patternType="solid">
        <fgColor rgb="FF009999"/>
        <bgColor indexed="64"/>
      </patternFill>
    </fill>
    <fill>
      <patternFill patternType="solid">
        <fgColor theme="0"/>
        <bgColor indexed="64"/>
      </patternFill>
    </fill>
    <fill>
      <patternFill patternType="solid">
        <fgColor theme="7" tint="-0.499984740745262"/>
        <bgColor indexed="64"/>
      </patternFill>
    </fill>
    <fill>
      <patternFill patternType="solid">
        <fgColor rgb="FF009999"/>
        <bgColor rgb="FF000000"/>
      </patternFill>
    </fill>
    <fill>
      <patternFill patternType="solid">
        <fgColor rgb="FF8CA83E"/>
        <bgColor indexed="64"/>
      </patternFill>
    </fill>
    <fill>
      <patternFill patternType="solid">
        <fgColor rgb="FF8B4513"/>
        <bgColor indexed="64"/>
      </patternFill>
    </fill>
    <fill>
      <patternFill patternType="solid">
        <fgColor rgb="FF6A929C"/>
        <bgColor indexed="64"/>
      </patternFill>
    </fill>
    <fill>
      <patternFill patternType="solid">
        <fgColor rgb="FFFFFF00"/>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theme="0"/>
      </bottom>
      <diagonal/>
    </border>
    <border>
      <left style="medium">
        <color theme="0"/>
      </left>
      <right style="medium">
        <color theme="0"/>
      </right>
      <top style="medium">
        <color indexed="64"/>
      </top>
      <bottom style="medium">
        <color indexed="64"/>
      </bottom>
      <diagonal/>
    </border>
    <border>
      <left style="medium">
        <color indexed="64"/>
      </left>
      <right/>
      <top style="medium">
        <color indexed="64"/>
      </top>
      <bottom style="medium">
        <color theme="0"/>
      </bottom>
      <diagonal/>
    </border>
    <border>
      <left/>
      <right style="medium">
        <color indexed="64"/>
      </right>
      <top style="medium">
        <color theme="0"/>
      </top>
      <bottom style="medium">
        <color theme="0"/>
      </bottom>
      <diagonal/>
    </border>
    <border>
      <left style="medium">
        <color theme="0"/>
      </left>
      <right style="medium">
        <color theme="0"/>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indexed="64"/>
      </bottom>
      <diagonal/>
    </border>
    <border>
      <left style="medium">
        <color indexed="64"/>
      </left>
      <right style="medium">
        <color theme="0"/>
      </right>
      <top style="medium">
        <color indexed="64"/>
      </top>
      <bottom style="medium">
        <color indexed="64"/>
      </bottom>
      <diagonal/>
    </border>
    <border>
      <left style="medium">
        <color indexed="64"/>
      </left>
      <right style="medium">
        <color theme="0"/>
      </right>
      <top style="medium">
        <color indexed="64"/>
      </top>
      <bottom/>
      <diagonal/>
    </border>
    <border>
      <left style="medium">
        <color indexed="64"/>
      </left>
      <right style="medium">
        <color theme="0"/>
      </right>
      <top/>
      <bottom/>
      <diagonal/>
    </border>
    <border>
      <left style="medium">
        <color indexed="64"/>
      </left>
      <right style="medium">
        <color theme="0"/>
      </right>
      <top/>
      <bottom style="medium">
        <color indexed="64"/>
      </bottom>
      <diagonal/>
    </border>
    <border>
      <left style="medium">
        <color theme="0"/>
      </left>
      <right style="medium">
        <color theme="0"/>
      </right>
      <top/>
      <bottom/>
      <diagonal/>
    </border>
    <border>
      <left style="medium">
        <color theme="0"/>
      </left>
      <right style="medium">
        <color theme="0"/>
      </right>
      <top style="medium">
        <color indexed="64"/>
      </top>
      <bottom style="medium">
        <color theme="0"/>
      </bottom>
      <diagonal/>
    </border>
    <border>
      <left style="medium">
        <color theme="0"/>
      </left>
      <right style="medium">
        <color theme="0"/>
      </right>
      <top style="medium">
        <color theme="0"/>
      </top>
      <bottom style="medium">
        <color indexed="64"/>
      </bottom>
      <diagonal/>
    </border>
    <border>
      <left style="medium">
        <color indexed="64"/>
      </left>
      <right style="medium">
        <color theme="0"/>
      </right>
      <top style="medium">
        <color indexed="64"/>
      </top>
      <bottom style="medium">
        <color theme="0"/>
      </bottom>
      <diagonal/>
    </border>
    <border>
      <left style="medium">
        <color theme="0"/>
      </left>
      <right style="medium">
        <color auto="1"/>
      </right>
      <top style="medium">
        <color indexed="64"/>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theme="0"/>
      </left>
      <right style="medium">
        <color auto="1"/>
      </right>
      <top style="medium">
        <color indexed="64"/>
      </top>
      <bottom style="medium">
        <color auto="1"/>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auto="1"/>
      </right>
      <top/>
      <bottom style="medium">
        <color theme="0"/>
      </bottom>
      <diagonal/>
    </border>
    <border>
      <left style="medium">
        <color theme="0"/>
      </left>
      <right style="medium">
        <color auto="1"/>
      </right>
      <top style="medium">
        <color indexed="64"/>
      </top>
      <bottom/>
      <diagonal/>
    </border>
    <border>
      <left style="medium">
        <color indexed="64"/>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auto="1"/>
      </right>
      <top style="medium">
        <color theme="0"/>
      </top>
      <bottom/>
      <diagonal/>
    </border>
    <border>
      <left style="medium">
        <color theme="0"/>
      </left>
      <right style="medium">
        <color auto="1"/>
      </right>
      <top/>
      <bottom style="medium">
        <color auto="1"/>
      </bottom>
      <diagonal/>
    </border>
    <border>
      <left style="medium">
        <color theme="0"/>
      </left>
      <right style="medium">
        <color auto="1"/>
      </right>
      <top/>
      <bottom/>
      <diagonal/>
    </border>
    <border>
      <left/>
      <right style="medium">
        <color auto="1"/>
      </right>
      <top style="medium">
        <color theme="0"/>
      </top>
      <bottom/>
      <diagonal/>
    </border>
    <border>
      <left/>
      <right style="medium">
        <color auto="1"/>
      </right>
      <top/>
      <bottom style="medium">
        <color theme="0"/>
      </bottom>
      <diagonal/>
    </border>
    <border>
      <left style="medium">
        <color theme="0"/>
      </left>
      <right style="thick">
        <color theme="0"/>
      </right>
      <top/>
      <bottom style="medium">
        <color theme="0"/>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medium">
        <color theme="0"/>
      </left>
      <right/>
      <top style="medium">
        <color indexed="64"/>
      </top>
      <bottom style="medium">
        <color indexed="64"/>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style="medium">
        <color indexed="64"/>
      </bottom>
      <diagonal/>
    </border>
    <border>
      <left style="medium">
        <color theme="0"/>
      </left>
      <right/>
      <top style="medium">
        <color indexed="64"/>
      </top>
      <bottom style="medium">
        <color theme="0"/>
      </bottom>
      <diagonal/>
    </border>
    <border>
      <left style="medium">
        <color theme="0"/>
      </left>
      <right/>
      <top style="medium">
        <color theme="0"/>
      </top>
      <bottom/>
      <diagonal/>
    </border>
    <border>
      <left style="medium">
        <color theme="0"/>
      </left>
      <right/>
      <top/>
      <bottom/>
      <diagonal/>
    </border>
    <border>
      <left/>
      <right style="medium">
        <color theme="0"/>
      </right>
      <top style="medium">
        <color indexed="64"/>
      </top>
      <bottom/>
      <diagonal/>
    </border>
    <border>
      <left/>
      <right style="medium">
        <color theme="0"/>
      </right>
      <top/>
      <bottom/>
      <diagonal/>
    </border>
    <border>
      <left/>
      <right/>
      <top style="double">
        <color theme="0"/>
      </top>
      <bottom style="double">
        <color auto="1"/>
      </bottom>
      <diagonal/>
    </border>
    <border>
      <left/>
      <right/>
      <top style="double">
        <color theme="0"/>
      </top>
      <bottom/>
      <diagonal/>
    </border>
    <border>
      <left/>
      <right style="medium">
        <color theme="0"/>
      </right>
      <top style="medium">
        <color indexed="64"/>
      </top>
      <bottom style="medium">
        <color indexed="64"/>
      </bottom>
      <diagonal/>
    </border>
    <border>
      <left/>
      <right style="medium">
        <color theme="0"/>
      </right>
      <top style="medium">
        <color theme="0"/>
      </top>
      <bottom/>
      <diagonal/>
    </border>
    <border>
      <left/>
      <right style="medium">
        <color theme="0"/>
      </right>
      <top/>
      <bottom style="medium">
        <color indexed="64"/>
      </bottom>
      <diagonal/>
    </border>
    <border>
      <left style="medium">
        <color theme="0"/>
      </left>
      <right/>
      <top style="medium">
        <color indexed="64"/>
      </top>
      <bottom/>
      <diagonal/>
    </border>
    <border>
      <left style="medium">
        <color indexed="64"/>
      </left>
      <right style="medium">
        <color theme="0"/>
      </right>
      <top style="double">
        <color theme="0"/>
      </top>
      <bottom style="medium">
        <color auto="1"/>
      </bottom>
      <diagonal/>
    </border>
    <border>
      <left style="medium">
        <color theme="0"/>
      </left>
      <right/>
      <top style="double">
        <color theme="0"/>
      </top>
      <bottom style="medium">
        <color auto="1"/>
      </bottom>
      <diagonal/>
    </border>
    <border>
      <left style="medium">
        <color theme="0"/>
      </left>
      <right style="medium">
        <color auto="1"/>
      </right>
      <top style="double">
        <color theme="0"/>
      </top>
      <bottom style="medium">
        <color auto="1"/>
      </bottom>
      <diagonal/>
    </border>
    <border>
      <left style="medium">
        <color indexed="64"/>
      </left>
      <right style="medium">
        <color indexed="64"/>
      </right>
      <top style="medium">
        <color indexed="64"/>
      </top>
      <bottom/>
      <diagonal/>
    </border>
    <border>
      <left style="medium">
        <color theme="0"/>
      </left>
      <right style="medium">
        <color theme="1"/>
      </right>
      <top style="medium">
        <color indexed="64"/>
      </top>
      <bottom style="medium">
        <color indexed="64"/>
      </bottom>
      <diagonal/>
    </border>
    <border>
      <left style="medium">
        <color theme="0"/>
      </left>
      <right style="medium">
        <color theme="1"/>
      </right>
      <top style="medium">
        <color indexed="64"/>
      </top>
      <bottom style="medium">
        <color theme="0"/>
      </bottom>
      <diagonal/>
    </border>
    <border>
      <left style="medium">
        <color theme="0"/>
      </left>
      <right style="medium">
        <color theme="1"/>
      </right>
      <top style="medium">
        <color theme="0"/>
      </top>
      <bottom style="medium">
        <color theme="0"/>
      </bottom>
      <diagonal/>
    </border>
    <border>
      <left style="medium">
        <color theme="0"/>
      </left>
      <right style="medium">
        <color theme="1"/>
      </right>
      <top style="medium">
        <color theme="0"/>
      </top>
      <bottom style="medium">
        <color indexed="64"/>
      </bottom>
      <diagonal/>
    </border>
    <border>
      <left/>
      <right/>
      <top/>
      <bottom style="medium">
        <color theme="0"/>
      </bottom>
      <diagonal/>
    </border>
    <border>
      <left style="medium">
        <color indexed="64"/>
      </left>
      <right style="medium">
        <color indexed="64"/>
      </right>
      <top style="medium">
        <color theme="0"/>
      </top>
      <bottom style="medium">
        <color indexed="64"/>
      </bottom>
      <diagonal/>
    </border>
    <border>
      <left/>
      <right/>
      <top style="medium">
        <color theme="0"/>
      </top>
      <bottom style="medium">
        <color auto="1"/>
      </bottom>
      <diagonal/>
    </border>
  </borders>
  <cellStyleXfs count="7">
    <xf numFmtId="0" fontId="0" fillId="0" borderId="0"/>
    <xf numFmtId="9" fontId="1" fillId="0" borderId="0" applyFont="0" applyFill="0" applyBorder="0" applyAlignment="0" applyProtection="0"/>
    <xf numFmtId="0" fontId="7" fillId="0" borderId="0"/>
    <xf numFmtId="0" fontId="9" fillId="0" borderId="0"/>
    <xf numFmtId="0" fontId="10" fillId="0" borderId="0"/>
    <xf numFmtId="0" fontId="12" fillId="3" borderId="1" applyNumberFormat="0" applyBorder="0" applyAlignment="0">
      <protection hidden="1"/>
    </xf>
    <xf numFmtId="164" fontId="1" fillId="0" borderId="0" applyFont="0" applyFill="0" applyBorder="0" applyAlignment="0" applyProtection="0"/>
  </cellStyleXfs>
  <cellXfs count="475">
    <xf numFmtId="0" fontId="0" fillId="0" borderId="0" xfId="0"/>
    <xf numFmtId="0" fontId="7" fillId="2" borderId="0" xfId="0" applyFont="1" applyFill="1" applyBorder="1" applyProtection="1">
      <protection hidden="1"/>
    </xf>
    <xf numFmtId="0" fontId="3" fillId="0" borderId="0" xfId="0" applyFont="1"/>
    <xf numFmtId="17" fontId="0" fillId="0" borderId="0" xfId="0" applyNumberFormat="1"/>
    <xf numFmtId="14" fontId="0" fillId="0" borderId="0" xfId="0" applyNumberFormat="1"/>
    <xf numFmtId="0" fontId="11" fillId="0" borderId="0" xfId="0" applyNumberFormat="1" applyFont="1" applyFill="1" applyBorder="1" applyAlignment="1" applyProtection="1"/>
    <xf numFmtId="10" fontId="0" fillId="0" borderId="0" xfId="1" applyNumberFormat="1" applyFont="1"/>
    <xf numFmtId="0" fontId="5" fillId="4" borderId="5" xfId="0" applyFont="1" applyFill="1" applyBorder="1" applyProtection="1">
      <protection hidden="1"/>
    </xf>
    <xf numFmtId="0" fontId="0" fillId="0" borderId="0" xfId="0" applyNumberFormat="1"/>
    <xf numFmtId="0" fontId="0" fillId="4" borderId="0" xfId="0" applyFill="1"/>
    <xf numFmtId="0" fontId="5" fillId="4" borderId="0" xfId="0" applyFont="1" applyFill="1" applyProtection="1">
      <protection hidden="1"/>
    </xf>
    <xf numFmtId="0" fontId="0" fillId="4" borderId="0" xfId="0" applyFont="1" applyFill="1" applyBorder="1"/>
    <xf numFmtId="0" fontId="5" fillId="4" borderId="18" xfId="0" applyFont="1" applyFill="1" applyBorder="1" applyProtection="1">
      <protection hidden="1"/>
    </xf>
    <xf numFmtId="0" fontId="5" fillId="4" borderId="0" xfId="0" applyFont="1" applyFill="1" applyBorder="1" applyProtection="1">
      <protection hidden="1"/>
    </xf>
    <xf numFmtId="0" fontId="0" fillId="4" borderId="0" xfId="0" applyFill="1" applyBorder="1"/>
    <xf numFmtId="0" fontId="0" fillId="4" borderId="19" xfId="0" applyFill="1" applyBorder="1"/>
    <xf numFmtId="0" fontId="0" fillId="4" borderId="18" xfId="0" applyFill="1" applyBorder="1"/>
    <xf numFmtId="0" fontId="6" fillId="4" borderId="0" xfId="0" applyFont="1" applyFill="1" applyBorder="1" applyProtection="1">
      <protection hidden="1"/>
    </xf>
    <xf numFmtId="0" fontId="1" fillId="4" borderId="18" xfId="0" applyFont="1" applyFill="1" applyBorder="1"/>
    <xf numFmtId="0" fontId="1" fillId="4" borderId="0" xfId="0" applyFont="1" applyFill="1" applyBorder="1"/>
    <xf numFmtId="0" fontId="5" fillId="4" borderId="4" xfId="0" applyFont="1" applyFill="1" applyBorder="1" applyProtection="1">
      <protection hidden="1"/>
    </xf>
    <xf numFmtId="0" fontId="0" fillId="4" borderId="6" xfId="0" applyFill="1" applyBorder="1"/>
    <xf numFmtId="0" fontId="0" fillId="4" borderId="2" xfId="0" applyFont="1" applyFill="1" applyBorder="1"/>
    <xf numFmtId="0" fontId="0" fillId="4" borderId="0" xfId="0" applyFont="1" applyFill="1" applyBorder="1" applyAlignment="1">
      <alignment vertical="top"/>
    </xf>
    <xf numFmtId="0" fontId="3" fillId="0" borderId="0" xfId="0" applyFont="1" applyAlignment="1">
      <alignment horizontal="center" vertical="center"/>
    </xf>
    <xf numFmtId="10" fontId="0" fillId="0" borderId="0" xfId="1" applyNumberFormat="1" applyFont="1" applyAlignment="1">
      <alignment horizontal="center" vertical="center"/>
    </xf>
    <xf numFmtId="10" fontId="3" fillId="0" borderId="0" xfId="1" applyNumberFormat="1" applyFont="1" applyAlignment="1">
      <alignment horizontal="center" vertical="center"/>
    </xf>
    <xf numFmtId="0" fontId="5" fillId="4" borderId="31" xfId="0" applyFont="1" applyFill="1" applyBorder="1" applyAlignment="1" applyProtection="1">
      <alignment horizontal="center"/>
      <protection hidden="1"/>
    </xf>
    <xf numFmtId="0" fontId="5" fillId="4" borderId="32" xfId="0" applyFont="1" applyFill="1" applyBorder="1" applyAlignment="1" applyProtection="1">
      <alignment horizontal="center"/>
      <protection hidden="1"/>
    </xf>
    <xf numFmtId="0" fontId="5" fillId="4" borderId="33" xfId="0" applyFont="1" applyFill="1" applyBorder="1" applyAlignment="1" applyProtection="1">
      <alignment horizontal="center"/>
      <protection hidden="1"/>
    </xf>
    <xf numFmtId="0" fontId="18" fillId="4" borderId="25" xfId="0" applyFont="1" applyFill="1" applyBorder="1" applyAlignment="1">
      <alignment horizontal="center" vertical="top"/>
    </xf>
    <xf numFmtId="0" fontId="18" fillId="4" borderId="18" xfId="0" applyFont="1" applyFill="1" applyBorder="1" applyAlignment="1">
      <alignment horizontal="center" vertical="top"/>
    </xf>
    <xf numFmtId="0" fontId="18" fillId="4" borderId="4" xfId="0" applyFont="1" applyFill="1" applyBorder="1" applyAlignment="1">
      <alignment horizontal="center" vertical="top"/>
    </xf>
    <xf numFmtId="0" fontId="0" fillId="4" borderId="0" xfId="0" applyFill="1" applyAlignment="1">
      <alignment vertical="center"/>
    </xf>
    <xf numFmtId="0" fontId="0" fillId="4" borderId="5" xfId="0" applyFill="1" applyBorder="1" applyAlignment="1">
      <alignment vertical="center"/>
    </xf>
    <xf numFmtId="0" fontId="5" fillId="0" borderId="37" xfId="0" applyFont="1" applyBorder="1" applyAlignment="1" applyProtection="1">
      <alignment horizontal="center" vertical="center"/>
      <protection hidden="1"/>
    </xf>
    <xf numFmtId="0" fontId="13" fillId="7" borderId="39" xfId="0" applyFont="1" applyFill="1" applyBorder="1" applyAlignment="1" applyProtection="1">
      <alignment horizontal="center" vertical="center"/>
      <protection hidden="1"/>
    </xf>
    <xf numFmtId="10" fontId="13" fillId="7" borderId="28" xfId="1" applyNumberFormat="1" applyFont="1" applyFill="1" applyBorder="1" applyAlignment="1" applyProtection="1">
      <alignment horizontal="center" vertical="center"/>
      <protection hidden="1"/>
    </xf>
    <xf numFmtId="10" fontId="13" fillId="7" borderId="40" xfId="1" applyNumberFormat="1" applyFont="1" applyFill="1" applyBorder="1" applyAlignment="1" applyProtection="1">
      <alignment horizontal="center" vertical="center"/>
      <protection hidden="1"/>
    </xf>
    <xf numFmtId="0" fontId="5" fillId="0" borderId="39" xfId="0" applyFont="1" applyBorder="1" applyAlignment="1" applyProtection="1">
      <alignment horizontal="center" vertical="center"/>
      <protection hidden="1"/>
    </xf>
    <xf numFmtId="10" fontId="5" fillId="0" borderId="28" xfId="1" applyNumberFormat="1" applyFont="1" applyBorder="1" applyAlignment="1" applyProtection="1">
      <alignment horizontal="center" vertical="center"/>
      <protection hidden="1"/>
    </xf>
    <xf numFmtId="10" fontId="5" fillId="0" borderId="40" xfId="1" applyNumberFormat="1" applyFont="1" applyBorder="1" applyAlignment="1" applyProtection="1">
      <alignment horizontal="center" vertical="center"/>
      <protection hidden="1"/>
    </xf>
    <xf numFmtId="0" fontId="5" fillId="0" borderId="41" xfId="0" applyFont="1" applyBorder="1" applyAlignment="1" applyProtection="1">
      <alignment horizontal="center" vertical="center"/>
      <protection hidden="1"/>
    </xf>
    <xf numFmtId="10" fontId="5" fillId="0" borderId="36" xfId="1" applyNumberFormat="1" applyFont="1" applyBorder="1" applyAlignment="1" applyProtection="1">
      <alignment horizontal="center" vertical="center"/>
      <protection hidden="1"/>
    </xf>
    <xf numFmtId="10" fontId="5" fillId="0" borderId="42" xfId="1" applyNumberFormat="1" applyFont="1" applyBorder="1" applyAlignment="1" applyProtection="1">
      <alignment horizontal="center" vertical="center"/>
      <protection hidden="1"/>
    </xf>
    <xf numFmtId="0" fontId="13" fillId="7" borderId="37" xfId="0" applyFont="1" applyFill="1" applyBorder="1" applyAlignment="1" applyProtection="1">
      <alignment horizontal="center" vertical="center"/>
      <protection hidden="1"/>
    </xf>
    <xf numFmtId="9" fontId="13" fillId="7" borderId="35" xfId="1" applyNumberFormat="1" applyFont="1" applyFill="1" applyBorder="1" applyAlignment="1" applyProtection="1">
      <alignment horizontal="center" vertical="center"/>
      <protection hidden="1"/>
    </xf>
    <xf numFmtId="10" fontId="13" fillId="7" borderId="38" xfId="1" applyNumberFormat="1" applyFont="1" applyFill="1" applyBorder="1" applyAlignment="1" applyProtection="1">
      <alignment horizontal="center" vertical="center"/>
      <protection hidden="1"/>
    </xf>
    <xf numFmtId="9" fontId="5" fillId="0" borderId="28" xfId="1" applyNumberFormat="1" applyFont="1" applyBorder="1" applyAlignment="1" applyProtection="1">
      <alignment horizontal="center" vertical="center"/>
      <protection hidden="1"/>
    </xf>
    <xf numFmtId="9" fontId="13" fillId="7" borderId="28" xfId="1" applyNumberFormat="1" applyFont="1" applyFill="1" applyBorder="1" applyAlignment="1" applyProtection="1">
      <alignment horizontal="center" vertical="center"/>
      <protection hidden="1"/>
    </xf>
    <xf numFmtId="0" fontId="13" fillId="7" borderId="41" xfId="0" applyFont="1" applyFill="1" applyBorder="1" applyAlignment="1" applyProtection="1">
      <alignment horizontal="center" vertical="center"/>
      <protection hidden="1"/>
    </xf>
    <xf numFmtId="10" fontId="13" fillId="7" borderId="36" xfId="1" applyNumberFormat="1" applyFont="1" applyFill="1" applyBorder="1" applyAlignment="1" applyProtection="1">
      <alignment horizontal="center" vertical="center"/>
      <protection hidden="1"/>
    </xf>
    <xf numFmtId="9" fontId="13" fillId="7" borderId="42" xfId="1" applyNumberFormat="1" applyFont="1" applyFill="1" applyBorder="1" applyAlignment="1" applyProtection="1">
      <alignment horizontal="center" vertical="center"/>
      <protection hidden="1"/>
    </xf>
    <xf numFmtId="44" fontId="5" fillId="0" borderId="35" xfId="1" applyNumberFormat="1" applyFont="1" applyBorder="1" applyAlignment="1" applyProtection="1">
      <alignment horizontal="center" vertical="center"/>
      <protection hidden="1"/>
    </xf>
    <xf numFmtId="44" fontId="5" fillId="0" borderId="38" xfId="1" applyNumberFormat="1" applyFont="1" applyBorder="1" applyAlignment="1" applyProtection="1">
      <alignment horizontal="center" vertical="center"/>
      <protection hidden="1"/>
    </xf>
    <xf numFmtId="44" fontId="13" fillId="7" borderId="28" xfId="1" applyNumberFormat="1" applyFont="1" applyFill="1" applyBorder="1" applyAlignment="1" applyProtection="1">
      <alignment horizontal="center" vertical="center"/>
      <protection hidden="1"/>
    </xf>
    <xf numFmtId="44" fontId="13" fillId="7" borderId="40" xfId="1" applyNumberFormat="1" applyFont="1" applyFill="1" applyBorder="1" applyAlignment="1" applyProtection="1">
      <alignment horizontal="center" vertical="center"/>
      <protection hidden="1"/>
    </xf>
    <xf numFmtId="44" fontId="5" fillId="0" borderId="28" xfId="1" applyNumberFormat="1" applyFont="1" applyBorder="1" applyAlignment="1" applyProtection="1">
      <alignment horizontal="center" vertical="center"/>
      <protection hidden="1"/>
    </xf>
    <xf numFmtId="44" fontId="5" fillId="0" borderId="40" xfId="1" applyNumberFormat="1" applyFont="1" applyBorder="1" applyAlignment="1" applyProtection="1">
      <alignment horizontal="center" vertical="center"/>
      <protection hidden="1"/>
    </xf>
    <xf numFmtId="0" fontId="5" fillId="0" borderId="30"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2" fontId="5" fillId="0" borderId="24" xfId="0" applyNumberFormat="1" applyFont="1" applyBorder="1" applyAlignment="1" applyProtection="1">
      <alignment horizontal="center" vertical="center"/>
      <protection hidden="1"/>
    </xf>
    <xf numFmtId="4" fontId="13" fillId="5" borderId="24" xfId="0" applyNumberFormat="1" applyFont="1" applyFill="1" applyBorder="1" applyAlignment="1" applyProtection="1">
      <alignment horizontal="center" vertical="center"/>
      <protection locked="0" hidden="1"/>
    </xf>
    <xf numFmtId="4" fontId="13" fillId="5" borderId="43" xfId="0" applyNumberFormat="1" applyFont="1" applyFill="1" applyBorder="1" applyAlignment="1" applyProtection="1">
      <alignment horizontal="center" vertical="center"/>
      <protection locked="0" hidden="1"/>
    </xf>
    <xf numFmtId="0" fontId="13" fillId="7" borderId="44" xfId="0" applyFont="1" applyFill="1" applyBorder="1" applyAlignment="1" applyProtection="1">
      <alignment horizontal="center" vertical="center"/>
      <protection hidden="1"/>
    </xf>
    <xf numFmtId="10" fontId="13" fillId="7" borderId="45" xfId="1" applyNumberFormat="1" applyFont="1" applyFill="1" applyBorder="1" applyAlignment="1" applyProtection="1">
      <alignment horizontal="center" vertical="center"/>
      <protection hidden="1"/>
    </xf>
    <xf numFmtId="10" fontId="13" fillId="7" borderId="46" xfId="1" applyNumberFormat="1" applyFont="1" applyFill="1" applyBorder="1" applyAlignment="1" applyProtection="1">
      <alignment horizontal="center" vertical="center"/>
      <protection hidden="1"/>
    </xf>
    <xf numFmtId="0" fontId="13" fillId="7" borderId="31" xfId="0" applyFont="1" applyFill="1" applyBorder="1" applyAlignment="1" applyProtection="1">
      <alignment horizontal="center" vertical="center"/>
      <protection hidden="1"/>
    </xf>
    <xf numFmtId="166" fontId="13" fillId="7" borderId="27" xfId="1" applyNumberFormat="1" applyFont="1" applyFill="1" applyBorder="1" applyAlignment="1" applyProtection="1">
      <alignment horizontal="center" vertical="center"/>
      <protection hidden="1"/>
    </xf>
    <xf numFmtId="167" fontId="19" fillId="7" borderId="33" xfId="0" applyNumberFormat="1" applyFont="1" applyFill="1" applyBorder="1" applyAlignment="1" applyProtection="1">
      <alignment horizontal="center" vertical="center"/>
      <protection hidden="1"/>
    </xf>
    <xf numFmtId="167" fontId="19" fillId="7" borderId="29" xfId="1" applyNumberFormat="1" applyFont="1" applyFill="1" applyBorder="1" applyAlignment="1" applyProtection="1">
      <alignment horizontal="center" vertical="center"/>
      <protection hidden="1"/>
    </xf>
    <xf numFmtId="167" fontId="19" fillId="7" borderId="51" xfId="1" applyNumberFormat="1" applyFont="1" applyFill="1" applyBorder="1" applyAlignment="1" applyProtection="1">
      <alignment horizontal="center" vertical="center"/>
      <protection hidden="1"/>
    </xf>
    <xf numFmtId="0" fontId="19" fillId="7" borderId="32" xfId="0" applyFont="1" applyFill="1" applyBorder="1" applyAlignment="1" applyProtection="1">
      <alignment horizontal="center" vertical="center"/>
      <protection hidden="1"/>
    </xf>
    <xf numFmtId="167" fontId="19" fillId="7" borderId="34" xfId="1" applyNumberFormat="1" applyFont="1" applyFill="1" applyBorder="1" applyAlignment="1" applyProtection="1">
      <alignment horizontal="center" vertical="center"/>
      <protection hidden="1"/>
    </xf>
    <xf numFmtId="0" fontId="13" fillId="7" borderId="32" xfId="0" applyFont="1" applyFill="1" applyBorder="1" applyAlignment="1" applyProtection="1">
      <alignment horizontal="center" vertical="center"/>
      <protection hidden="1"/>
    </xf>
    <xf numFmtId="166" fontId="13" fillId="7" borderId="34" xfId="1" applyNumberFormat="1" applyFont="1" applyFill="1" applyBorder="1" applyAlignment="1" applyProtection="1">
      <alignment horizontal="center" vertical="center"/>
      <protection hidden="1"/>
    </xf>
    <xf numFmtId="166" fontId="13" fillId="7" borderId="52" xfId="1" applyNumberFormat="1" applyFont="1" applyFill="1" applyBorder="1" applyAlignment="1" applyProtection="1">
      <alignment horizontal="center" vertical="center"/>
      <protection hidden="1"/>
    </xf>
    <xf numFmtId="0" fontId="5" fillId="4" borderId="48" xfId="0" applyFont="1" applyFill="1" applyBorder="1" applyAlignment="1" applyProtection="1">
      <alignment horizontal="center" vertical="center"/>
      <protection hidden="1"/>
    </xf>
    <xf numFmtId="166" fontId="5" fillId="4" borderId="49" xfId="1" applyNumberFormat="1" applyFont="1" applyFill="1" applyBorder="1" applyAlignment="1" applyProtection="1">
      <alignment horizontal="center" vertical="center"/>
      <protection hidden="1"/>
    </xf>
    <xf numFmtId="2" fontId="5" fillId="4" borderId="50" xfId="1" applyNumberFormat="1" applyFont="1" applyFill="1" applyBorder="1" applyAlignment="1" applyProtection="1">
      <alignment horizontal="center" vertical="center"/>
      <protection hidden="1"/>
    </xf>
    <xf numFmtId="167" fontId="17" fillId="4" borderId="44" xfId="0" applyNumberFormat="1" applyFont="1" applyFill="1" applyBorder="1" applyAlignment="1" applyProtection="1">
      <alignment horizontal="center" vertical="center"/>
      <protection hidden="1"/>
    </xf>
    <xf numFmtId="167" fontId="17" fillId="4" borderId="45" xfId="1" applyNumberFormat="1" applyFont="1" applyFill="1" applyBorder="1" applyAlignment="1" applyProtection="1">
      <alignment horizontal="center" vertical="center"/>
      <protection hidden="1"/>
    </xf>
    <xf numFmtId="167" fontId="17" fillId="4" borderId="46" xfId="1" applyNumberFormat="1" applyFont="1" applyFill="1" applyBorder="1" applyAlignment="1" applyProtection="1">
      <alignment horizontal="center" vertical="center"/>
      <protection hidden="1"/>
    </xf>
    <xf numFmtId="2" fontId="13" fillId="4" borderId="27" xfId="1" applyNumberFormat="1" applyFont="1" applyFill="1" applyBorder="1" applyAlignment="1" applyProtection="1">
      <alignment horizontal="center" vertical="center"/>
      <protection hidden="1"/>
    </xf>
    <xf numFmtId="2" fontId="13" fillId="4" borderId="47" xfId="1" applyNumberFormat="1" applyFont="1" applyFill="1" applyBorder="1" applyAlignment="1" applyProtection="1">
      <alignment horizontal="center" vertical="center"/>
      <protection hidden="1"/>
    </xf>
    <xf numFmtId="2" fontId="19" fillId="4" borderId="34" xfId="1" applyNumberFormat="1" applyFont="1" applyFill="1" applyBorder="1" applyAlignment="1" applyProtection="1">
      <alignment horizontal="center" vertical="center"/>
      <protection hidden="1"/>
    </xf>
    <xf numFmtId="2" fontId="19" fillId="4" borderId="52" xfId="1" applyNumberFormat="1" applyFont="1" applyFill="1" applyBorder="1" applyAlignment="1" applyProtection="1">
      <alignment horizontal="center" vertical="center"/>
      <protection hidden="1"/>
    </xf>
    <xf numFmtId="10" fontId="13" fillId="4" borderId="35" xfId="1" applyNumberFormat="1" applyFont="1" applyFill="1" applyBorder="1" applyAlignment="1" applyProtection="1">
      <alignment horizontal="center" vertical="center"/>
      <protection hidden="1"/>
    </xf>
    <xf numFmtId="10" fontId="13" fillId="4" borderId="38" xfId="1" applyNumberFormat="1" applyFont="1" applyFill="1" applyBorder="1" applyAlignment="1" applyProtection="1">
      <alignment horizontal="center" vertical="center"/>
      <protection hidden="1"/>
    </xf>
    <xf numFmtId="10" fontId="13" fillId="4" borderId="28" xfId="1" applyNumberFormat="1" applyFont="1" applyFill="1" applyBorder="1" applyAlignment="1" applyProtection="1">
      <alignment horizontal="center" vertical="center"/>
      <protection hidden="1"/>
    </xf>
    <xf numFmtId="10" fontId="13" fillId="4" borderId="40" xfId="1" applyNumberFormat="1" applyFont="1" applyFill="1" applyBorder="1" applyAlignment="1" applyProtection="1">
      <alignment horizontal="center" vertical="center"/>
      <protection hidden="1"/>
    </xf>
    <xf numFmtId="10" fontId="0" fillId="0" borderId="0" xfId="0" applyNumberFormat="1"/>
    <xf numFmtId="0" fontId="4" fillId="4" borderId="0" xfId="0" applyFont="1" applyFill="1" applyBorder="1"/>
    <xf numFmtId="0" fontId="20" fillId="4" borderId="0" xfId="0" applyFont="1" applyFill="1"/>
    <xf numFmtId="0" fontId="5" fillId="4" borderId="0" xfId="0" applyFont="1" applyFill="1" applyBorder="1" applyAlignment="1" applyProtection="1">
      <alignment horizontal="center" vertical="center"/>
      <protection hidden="1"/>
    </xf>
    <xf numFmtId="0" fontId="5" fillId="4" borderId="0" xfId="0" applyFont="1" applyFill="1" applyBorder="1" applyAlignment="1" applyProtection="1">
      <alignment vertical="center"/>
      <protection hidden="1"/>
    </xf>
    <xf numFmtId="44" fontId="5" fillId="4" borderId="0" xfId="1" applyNumberFormat="1" applyFont="1" applyFill="1" applyBorder="1" applyAlignment="1" applyProtection="1">
      <alignment horizontal="center" vertical="center"/>
      <protection hidden="1"/>
    </xf>
    <xf numFmtId="0" fontId="13" fillId="4" borderId="0" xfId="0" applyFont="1" applyFill="1" applyBorder="1" applyAlignment="1" applyProtection="1">
      <alignment horizontal="center" vertical="center"/>
      <protection hidden="1"/>
    </xf>
    <xf numFmtId="44" fontId="13" fillId="4" borderId="0" xfId="1" applyNumberFormat="1" applyFont="1" applyFill="1" applyBorder="1" applyAlignment="1" applyProtection="1">
      <alignment horizontal="center" vertical="center"/>
      <protection hidden="1"/>
    </xf>
    <xf numFmtId="44" fontId="5" fillId="4" borderId="0" xfId="0" applyNumberFormat="1" applyFont="1" applyFill="1" applyBorder="1" applyAlignment="1" applyProtection="1">
      <alignment horizontal="center" vertical="center"/>
      <protection hidden="1"/>
    </xf>
    <xf numFmtId="167" fontId="19" fillId="7" borderId="32" xfId="0" applyNumberFormat="1" applyFont="1" applyFill="1" applyBorder="1" applyAlignment="1" applyProtection="1">
      <alignment horizontal="center" vertical="center"/>
      <protection hidden="1"/>
    </xf>
    <xf numFmtId="2" fontId="0" fillId="0" borderId="0" xfId="1" applyNumberFormat="1" applyFont="1" applyAlignment="1">
      <alignment horizontal="center" vertical="center"/>
    </xf>
    <xf numFmtId="0" fontId="5" fillId="4" borderId="23" xfId="0" applyFont="1" applyFill="1" applyBorder="1" applyProtection="1">
      <protection hidden="1"/>
    </xf>
    <xf numFmtId="0" fontId="5" fillId="4" borderId="26" xfId="0" applyFont="1" applyFill="1" applyBorder="1" applyProtection="1">
      <protection hidden="1"/>
    </xf>
    <xf numFmtId="0" fontId="18" fillId="4" borderId="0" xfId="0" applyFont="1" applyFill="1" applyBorder="1" applyAlignment="1">
      <alignment horizontal="center" vertical="top"/>
    </xf>
    <xf numFmtId="0" fontId="19" fillId="4" borderId="0" xfId="0" applyFont="1" applyFill="1" applyBorder="1" applyAlignment="1">
      <alignment horizontal="center"/>
    </xf>
    <xf numFmtId="9" fontId="13" fillId="4" borderId="0" xfId="0" applyNumberFormat="1" applyFont="1" applyFill="1" applyBorder="1" applyAlignment="1">
      <alignment horizontal="center"/>
    </xf>
    <xf numFmtId="166" fontId="13" fillId="7" borderId="19" xfId="1" applyNumberFormat="1" applyFont="1" applyFill="1" applyBorder="1" applyAlignment="1" applyProtection="1">
      <alignment horizontal="center" vertical="center"/>
      <protection hidden="1"/>
    </xf>
    <xf numFmtId="167" fontId="19" fillId="7" borderId="19" xfId="1" applyNumberFormat="1" applyFont="1" applyFill="1" applyBorder="1" applyAlignment="1" applyProtection="1">
      <alignment horizontal="center" vertical="center"/>
      <protection hidden="1"/>
    </xf>
    <xf numFmtId="0" fontId="2" fillId="4" borderId="0" xfId="0" applyFont="1" applyFill="1" applyBorder="1" applyAlignment="1">
      <alignment horizontal="center" vertical="center"/>
    </xf>
    <xf numFmtId="10" fontId="13" fillId="4" borderId="0" xfId="1" applyNumberFormat="1" applyFont="1" applyFill="1" applyBorder="1" applyAlignment="1" applyProtection="1">
      <alignment horizontal="center" vertical="center"/>
      <protection hidden="1"/>
    </xf>
    <xf numFmtId="10" fontId="5" fillId="4" borderId="0" xfId="1" applyNumberFormat="1" applyFont="1" applyFill="1" applyBorder="1" applyAlignment="1" applyProtection="1">
      <alignment horizontal="center" vertical="center"/>
      <protection hidden="1"/>
    </xf>
    <xf numFmtId="0" fontId="0" fillId="4" borderId="0" xfId="0" applyFill="1" applyBorder="1" applyAlignment="1">
      <alignment vertical="center"/>
    </xf>
    <xf numFmtId="9" fontId="13" fillId="4" borderId="0" xfId="1" applyNumberFormat="1" applyFont="1" applyFill="1" applyBorder="1" applyAlignment="1" applyProtection="1">
      <alignment horizontal="center" vertical="center"/>
      <protection hidden="1"/>
    </xf>
    <xf numFmtId="166" fontId="13" fillId="4" borderId="0" xfId="1" applyNumberFormat="1" applyFont="1" applyFill="1" applyBorder="1" applyAlignment="1" applyProtection="1">
      <alignment horizontal="center" vertical="center"/>
      <protection hidden="1"/>
    </xf>
    <xf numFmtId="167" fontId="19" fillId="4" borderId="0" xfId="1" applyNumberFormat="1" applyFont="1" applyFill="1" applyBorder="1" applyAlignment="1" applyProtection="1">
      <alignment horizontal="center" vertical="center"/>
      <protection hidden="1"/>
    </xf>
    <xf numFmtId="167" fontId="17" fillId="4" borderId="0" xfId="1" applyNumberFormat="1" applyFont="1" applyFill="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2" fontId="13" fillId="4" borderId="0" xfId="1" applyNumberFormat="1" applyFont="1" applyFill="1" applyBorder="1" applyAlignment="1" applyProtection="1">
      <alignment horizontal="center" vertical="center"/>
      <protection hidden="1"/>
    </xf>
    <xf numFmtId="2" fontId="19" fillId="4" borderId="0" xfId="1" applyNumberFormat="1" applyFont="1" applyFill="1" applyBorder="1" applyAlignment="1" applyProtection="1">
      <alignment horizontal="center" vertical="center"/>
      <protection hidden="1"/>
    </xf>
    <xf numFmtId="2" fontId="5" fillId="4" borderId="0" xfId="1" applyNumberFormat="1" applyFont="1" applyFill="1" applyBorder="1" applyAlignment="1" applyProtection="1">
      <alignment horizontal="center" vertical="center"/>
      <protection hidden="1"/>
    </xf>
    <xf numFmtId="4" fontId="13" fillId="4" borderId="0" xfId="0" applyNumberFormat="1" applyFont="1" applyFill="1" applyBorder="1" applyAlignment="1" applyProtection="1">
      <alignment horizontal="center" vertical="center"/>
      <protection locked="0" hidden="1"/>
    </xf>
    <xf numFmtId="0" fontId="0" fillId="0" borderId="0" xfId="0" applyFont="1" applyAlignment="1">
      <alignment horizontal="left" vertical="center"/>
    </xf>
    <xf numFmtId="0" fontId="8" fillId="4" borderId="0" xfId="0" applyFont="1" applyFill="1" applyBorder="1" applyAlignment="1" applyProtection="1">
      <alignment horizontal="center"/>
      <protection hidden="1"/>
    </xf>
    <xf numFmtId="0" fontId="5" fillId="4" borderId="0" xfId="0" applyFont="1" applyFill="1" applyBorder="1" applyAlignment="1" applyProtection="1">
      <alignment horizontal="center"/>
      <protection hidden="1"/>
    </xf>
    <xf numFmtId="4" fontId="5" fillId="4" borderId="0" xfId="0" applyNumberFormat="1" applyFont="1" applyFill="1" applyBorder="1" applyAlignment="1" applyProtection="1">
      <alignment horizontal="center"/>
      <protection locked="0" hidden="1"/>
    </xf>
    <xf numFmtId="0" fontId="20" fillId="4" borderId="0" xfId="0" applyFont="1" applyFill="1" applyBorder="1"/>
    <xf numFmtId="165" fontId="18" fillId="4" borderId="0" xfId="0" applyNumberFormat="1" applyFont="1" applyFill="1" applyBorder="1" applyAlignment="1">
      <alignment horizontal="center"/>
    </xf>
    <xf numFmtId="1" fontId="5" fillId="4" borderId="0" xfId="0" applyNumberFormat="1" applyFont="1" applyFill="1" applyBorder="1" applyAlignment="1" applyProtection="1">
      <alignment horizontal="center"/>
      <protection locked="0" hidden="1"/>
    </xf>
    <xf numFmtId="2" fontId="5" fillId="4" borderId="0" xfId="0" applyNumberFormat="1"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166" fontId="5" fillId="4" borderId="0" xfId="1" applyNumberFormat="1" applyFont="1" applyFill="1" applyBorder="1" applyAlignment="1" applyProtection="1">
      <alignment horizontal="center" vertical="center"/>
      <protection hidden="1"/>
    </xf>
    <xf numFmtId="167" fontId="17" fillId="4" borderId="0" xfId="0" applyNumberFormat="1" applyFont="1" applyFill="1" applyBorder="1" applyAlignment="1" applyProtection="1">
      <alignment horizontal="center" vertical="center"/>
      <protection hidden="1"/>
    </xf>
    <xf numFmtId="167" fontId="19" fillId="4" borderId="0" xfId="0" applyNumberFormat="1" applyFont="1" applyFill="1" applyBorder="1" applyAlignment="1" applyProtection="1">
      <alignment horizontal="center" vertical="center"/>
      <protection hidden="1"/>
    </xf>
    <xf numFmtId="0" fontId="2" fillId="4" borderId="0" xfId="0" applyFont="1" applyFill="1" applyBorder="1" applyAlignment="1">
      <alignment vertical="center"/>
    </xf>
    <xf numFmtId="0" fontId="8" fillId="4" borderId="0" xfId="0" applyFont="1" applyFill="1" applyBorder="1" applyAlignment="1" applyProtection="1">
      <protection hidden="1"/>
    </xf>
    <xf numFmtId="0" fontId="3" fillId="4" borderId="0" xfId="0" applyFont="1" applyFill="1" applyBorder="1" applyAlignment="1"/>
    <xf numFmtId="2" fontId="0" fillId="0" borderId="0" xfId="0" applyNumberFormat="1"/>
    <xf numFmtId="2" fontId="0" fillId="4" borderId="0" xfId="0" applyNumberFormat="1" applyFill="1"/>
    <xf numFmtId="0" fontId="2" fillId="7" borderId="45" xfId="0" applyFont="1" applyFill="1" applyBorder="1" applyAlignment="1" applyProtection="1">
      <alignment horizontal="center" vertical="center"/>
      <protection hidden="1"/>
    </xf>
    <xf numFmtId="0" fontId="5" fillId="0" borderId="28" xfId="0" applyFont="1" applyBorder="1" applyAlignment="1" applyProtection="1">
      <alignment horizontal="center" vertical="center"/>
      <protection hidden="1"/>
    </xf>
    <xf numFmtId="2" fontId="5" fillId="0" borderId="28" xfId="0" applyNumberFormat="1" applyFont="1" applyBorder="1" applyAlignment="1" applyProtection="1">
      <alignment horizontal="center" vertical="center"/>
      <protection hidden="1"/>
    </xf>
    <xf numFmtId="0" fontId="13" fillId="7" borderId="28" xfId="0" applyFont="1" applyFill="1" applyBorder="1" applyAlignment="1" applyProtection="1">
      <alignment horizontal="center" vertical="center"/>
      <protection hidden="1"/>
    </xf>
    <xf numFmtId="2" fontId="13" fillId="7" borderId="28" xfId="0" applyNumberFormat="1" applyFont="1" applyFill="1" applyBorder="1" applyAlignment="1" applyProtection="1">
      <alignment horizontal="center" vertical="center"/>
      <protection hidden="1"/>
    </xf>
    <xf numFmtId="0" fontId="2" fillId="7" borderId="56" xfId="0" applyFont="1" applyFill="1" applyBorder="1" applyAlignment="1" applyProtection="1">
      <alignment horizontal="center" vertical="center"/>
      <protection hidden="1"/>
    </xf>
    <xf numFmtId="0" fontId="5" fillId="0" borderId="57" xfId="0" applyFont="1" applyBorder="1" applyAlignment="1" applyProtection="1">
      <alignment horizontal="center" vertical="center"/>
      <protection hidden="1"/>
    </xf>
    <xf numFmtId="0" fontId="13" fillId="7" borderId="57" xfId="0" applyFont="1" applyFill="1" applyBorder="1" applyAlignment="1" applyProtection="1">
      <alignment horizontal="center" vertical="center"/>
      <protection hidden="1"/>
    </xf>
    <xf numFmtId="0" fontId="2" fillId="7" borderId="55" xfId="0" applyFont="1" applyFill="1" applyBorder="1" applyAlignment="1" applyProtection="1">
      <alignment horizontal="center" vertical="center"/>
      <protection hidden="1"/>
    </xf>
    <xf numFmtId="2" fontId="5" fillId="0" borderId="58" xfId="0" applyNumberFormat="1" applyFont="1" applyBorder="1" applyAlignment="1" applyProtection="1">
      <alignment horizontal="center" vertical="center"/>
      <protection hidden="1"/>
    </xf>
    <xf numFmtId="2" fontId="13" fillId="7" borderId="58"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horizontal="center"/>
      <protection hidden="1"/>
    </xf>
    <xf numFmtId="0" fontId="2" fillId="4" borderId="0" xfId="0" applyFont="1" applyFill="1" applyBorder="1" applyAlignment="1">
      <alignment horizontal="center" vertical="center"/>
    </xf>
    <xf numFmtId="0" fontId="0" fillId="0" borderId="0" xfId="0" applyFill="1"/>
    <xf numFmtId="10" fontId="0" fillId="0" borderId="0" xfId="1" applyNumberFormat="1" applyFont="1" applyFill="1"/>
    <xf numFmtId="0" fontId="0" fillId="0" borderId="0" xfId="0" applyFill="1" applyBorder="1"/>
    <xf numFmtId="10" fontId="0" fillId="0" borderId="0" xfId="1" applyNumberFormat="1" applyFont="1" applyFill="1" applyBorder="1"/>
    <xf numFmtId="2" fontId="0" fillId="0" borderId="0" xfId="1" applyNumberFormat="1" applyFont="1" applyFill="1"/>
    <xf numFmtId="2" fontId="0" fillId="0" borderId="0" xfId="0" applyNumberFormat="1" applyFill="1"/>
    <xf numFmtId="2" fontId="0" fillId="0" borderId="0" xfId="1" applyNumberFormat="1" applyFont="1" applyFill="1" applyBorder="1"/>
    <xf numFmtId="2" fontId="0" fillId="0" borderId="0" xfId="0" applyNumberFormat="1" applyFill="1" applyBorder="1"/>
    <xf numFmtId="0" fontId="13" fillId="4" borderId="28" xfId="0" applyFont="1" applyFill="1" applyBorder="1" applyAlignment="1" applyProtection="1">
      <alignment horizontal="center" vertical="center"/>
      <protection hidden="1"/>
    </xf>
    <xf numFmtId="2" fontId="13" fillId="4" borderId="58" xfId="0" applyNumberFormat="1" applyFont="1" applyFill="1" applyBorder="1" applyAlignment="1" applyProtection="1">
      <alignment horizontal="center" vertical="center"/>
      <protection hidden="1"/>
    </xf>
    <xf numFmtId="0" fontId="13" fillId="4" borderId="57" xfId="0" applyFont="1" applyFill="1" applyBorder="1" applyAlignment="1" applyProtection="1">
      <alignment horizontal="center" vertical="center"/>
      <protection hidden="1"/>
    </xf>
    <xf numFmtId="2" fontId="13" fillId="4" borderId="28" xfId="0" applyNumberFormat="1" applyFont="1" applyFill="1" applyBorder="1" applyAlignment="1" applyProtection="1">
      <alignment horizontal="center" vertical="center"/>
      <protection hidden="1"/>
    </xf>
    <xf numFmtId="0" fontId="5" fillId="4" borderId="28" xfId="0" applyFont="1" applyFill="1" applyBorder="1" applyAlignment="1" applyProtection="1">
      <alignment horizontal="center" vertical="center"/>
      <protection hidden="1"/>
    </xf>
    <xf numFmtId="2" fontId="5" fillId="4" borderId="58" xfId="0" applyNumberFormat="1" applyFont="1" applyFill="1" applyBorder="1" applyAlignment="1" applyProtection="1">
      <alignment horizontal="center" vertical="center"/>
      <protection hidden="1"/>
    </xf>
    <xf numFmtId="0" fontId="5" fillId="4" borderId="57" xfId="0" applyFont="1" applyFill="1" applyBorder="1" applyAlignment="1" applyProtection="1">
      <alignment horizontal="center" vertical="center"/>
      <protection hidden="1"/>
    </xf>
    <xf numFmtId="2" fontId="5" fillId="4" borderId="28" xfId="0" applyNumberFormat="1" applyFont="1" applyFill="1" applyBorder="1" applyAlignment="1" applyProtection="1">
      <alignment horizontal="center" vertical="center"/>
      <protection hidden="1"/>
    </xf>
    <xf numFmtId="0" fontId="18" fillId="4" borderId="18" xfId="0" applyFont="1" applyFill="1" applyBorder="1"/>
    <xf numFmtId="0" fontId="2" fillId="4" borderId="0" xfId="0" applyFont="1" applyFill="1" applyBorder="1" applyAlignment="1">
      <alignment horizontal="center" vertical="center"/>
    </xf>
    <xf numFmtId="0" fontId="8" fillId="4" borderId="0" xfId="0" applyFont="1" applyFill="1" applyBorder="1" applyAlignment="1" applyProtection="1">
      <alignment horizontal="center"/>
      <protection hidden="1"/>
    </xf>
    <xf numFmtId="0" fontId="5" fillId="0" borderId="60" xfId="0" applyFont="1" applyBorder="1" applyAlignment="1" applyProtection="1">
      <alignment horizontal="center" vertical="center"/>
      <protection hidden="1"/>
    </xf>
    <xf numFmtId="10" fontId="13" fillId="7" borderId="61" xfId="1" applyNumberFormat="1" applyFont="1" applyFill="1" applyBorder="1" applyAlignment="1" applyProtection="1">
      <alignment horizontal="center" vertical="center"/>
      <protection hidden="1"/>
    </xf>
    <xf numFmtId="10" fontId="5" fillId="0" borderId="62" xfId="1" applyNumberFormat="1" applyFont="1" applyBorder="1" applyAlignment="1" applyProtection="1">
      <alignment horizontal="center" vertical="center"/>
      <protection hidden="1"/>
    </xf>
    <xf numFmtId="10" fontId="13" fillId="7" borderId="62" xfId="1" applyNumberFormat="1" applyFont="1" applyFill="1" applyBorder="1" applyAlignment="1" applyProtection="1">
      <alignment horizontal="center" vertical="center"/>
      <protection hidden="1"/>
    </xf>
    <xf numFmtId="10" fontId="5" fillId="0" borderId="63" xfId="1" applyNumberFormat="1" applyFont="1" applyBorder="1" applyAlignment="1" applyProtection="1">
      <alignment horizontal="center" vertical="center"/>
      <protection hidden="1"/>
    </xf>
    <xf numFmtId="0" fontId="2" fillId="4" borderId="18" xfId="0" applyFont="1" applyFill="1" applyBorder="1" applyAlignment="1">
      <alignment vertical="center"/>
    </xf>
    <xf numFmtId="0" fontId="5" fillId="4" borderId="18" xfId="0" applyFont="1" applyFill="1" applyBorder="1" applyAlignment="1" applyProtection="1">
      <alignment horizontal="center" vertical="center"/>
      <protection hidden="1"/>
    </xf>
    <xf numFmtId="10" fontId="13" fillId="4" borderId="18" xfId="1" applyNumberFormat="1" applyFont="1" applyFill="1" applyBorder="1" applyAlignment="1" applyProtection="1">
      <alignment horizontal="center" vertical="center"/>
      <protection hidden="1"/>
    </xf>
    <xf numFmtId="10" fontId="5" fillId="4" borderId="18" xfId="1" applyNumberFormat="1" applyFont="1" applyFill="1" applyBorder="1" applyAlignment="1" applyProtection="1">
      <alignment horizontal="center" vertical="center"/>
      <protection hidden="1"/>
    </xf>
    <xf numFmtId="0" fontId="5" fillId="4" borderId="2" xfId="0" applyFont="1" applyFill="1" applyBorder="1" applyAlignment="1" applyProtection="1">
      <alignment horizontal="center" vertical="center"/>
      <protection hidden="1"/>
    </xf>
    <xf numFmtId="166" fontId="5" fillId="4" borderId="2" xfId="1" applyNumberFormat="1" applyFont="1" applyFill="1" applyBorder="1" applyAlignment="1" applyProtection="1">
      <alignment horizontal="center" vertical="center"/>
      <protection hidden="1"/>
    </xf>
    <xf numFmtId="2" fontId="0" fillId="0" borderId="0" xfId="1" applyNumberFormat="1" applyFont="1"/>
    <xf numFmtId="0" fontId="5" fillId="4" borderId="19" xfId="0" applyFont="1" applyFill="1" applyBorder="1"/>
    <xf numFmtId="0" fontId="5" fillId="4" borderId="0" xfId="0" applyFont="1" applyFill="1" applyBorder="1" applyAlignment="1">
      <alignment horizontal="center" vertical="top"/>
    </xf>
    <xf numFmtId="0" fontId="5" fillId="4" borderId="5" xfId="0" applyFont="1" applyFill="1" applyBorder="1" applyAlignment="1">
      <alignment vertical="center"/>
    </xf>
    <xf numFmtId="0" fontId="5" fillId="4" borderId="6" xfId="0" applyFont="1" applyFill="1" applyBorder="1"/>
    <xf numFmtId="0" fontId="24" fillId="4" borderId="0" xfId="0" applyFont="1" applyFill="1" applyBorder="1" applyAlignment="1" applyProtection="1">
      <alignment horizontal="center" vertical="top"/>
      <protection hidden="1"/>
    </xf>
    <xf numFmtId="0" fontId="24" fillId="4" borderId="0" xfId="0" applyFont="1" applyFill="1" applyBorder="1" applyAlignment="1">
      <alignment horizontal="center" vertical="top"/>
    </xf>
    <xf numFmtId="0" fontId="5" fillId="4" borderId="0" xfId="0" applyFont="1" applyFill="1" applyBorder="1" applyAlignment="1" applyProtection="1">
      <alignment horizontal="center" vertical="top"/>
      <protection hidden="1"/>
    </xf>
    <xf numFmtId="0" fontId="5" fillId="4" borderId="18" xfId="0" applyFont="1" applyFill="1" applyBorder="1" applyAlignment="1" applyProtection="1">
      <alignment horizontal="center" vertical="top"/>
      <protection hidden="1"/>
    </xf>
    <xf numFmtId="0" fontId="5" fillId="4" borderId="19" xfId="0" applyFont="1" applyFill="1" applyBorder="1" applyAlignment="1">
      <alignment horizontal="center" vertical="top"/>
    </xf>
    <xf numFmtId="0" fontId="0" fillId="4" borderId="0" xfId="0" applyFill="1" applyAlignment="1"/>
    <xf numFmtId="0" fontId="5" fillId="4" borderId="1" xfId="0" applyNumberFormat="1" applyFont="1" applyFill="1" applyBorder="1" applyAlignment="1" applyProtection="1">
      <alignment horizontal="left" vertical="center"/>
      <protection hidden="1"/>
    </xf>
    <xf numFmtId="0" fontId="5" fillId="4" borderId="2" xfId="0" applyNumberFormat="1" applyFont="1" applyFill="1" applyBorder="1" applyAlignment="1" applyProtection="1">
      <alignment horizontal="left" vertical="center"/>
      <protection hidden="1"/>
    </xf>
    <xf numFmtId="0" fontId="5" fillId="4" borderId="3" xfId="0" applyNumberFormat="1" applyFont="1" applyFill="1" applyBorder="1" applyAlignment="1" applyProtection="1">
      <alignment horizontal="left" vertical="center"/>
      <protection hidden="1"/>
    </xf>
    <xf numFmtId="0" fontId="5" fillId="4" borderId="18" xfId="0" applyNumberFormat="1" applyFont="1" applyFill="1" applyBorder="1" applyAlignment="1" applyProtection="1">
      <alignment horizontal="left" vertical="center"/>
      <protection hidden="1"/>
    </xf>
    <xf numFmtId="0" fontId="5" fillId="4" borderId="0" xfId="0" applyNumberFormat="1" applyFont="1" applyFill="1" applyBorder="1" applyAlignment="1" applyProtection="1">
      <alignment horizontal="left" vertical="center"/>
      <protection hidden="1"/>
    </xf>
    <xf numFmtId="0" fontId="5" fillId="4" borderId="19" xfId="0" applyNumberFormat="1" applyFont="1" applyFill="1" applyBorder="1" applyAlignment="1" applyProtection="1">
      <alignment horizontal="left" vertical="center"/>
      <protection hidden="1"/>
    </xf>
    <xf numFmtId="0" fontId="5" fillId="4" borderId="4" xfId="0" applyNumberFormat="1" applyFont="1" applyFill="1" applyBorder="1" applyAlignment="1" applyProtection="1">
      <alignment horizontal="left" vertical="center"/>
      <protection hidden="1"/>
    </xf>
    <xf numFmtId="0" fontId="5" fillId="4" borderId="5" xfId="0" applyNumberFormat="1" applyFont="1" applyFill="1" applyBorder="1" applyAlignment="1" applyProtection="1">
      <alignment horizontal="left" vertical="center"/>
      <protection hidden="1"/>
    </xf>
    <xf numFmtId="0" fontId="5" fillId="4" borderId="6" xfId="0" applyNumberFormat="1" applyFont="1" applyFill="1" applyBorder="1" applyAlignment="1" applyProtection="1">
      <alignment horizontal="left" vertical="center"/>
      <protection hidden="1"/>
    </xf>
    <xf numFmtId="10" fontId="5" fillId="4" borderId="66" xfId="1" applyNumberFormat="1" applyFont="1" applyFill="1" applyBorder="1" applyAlignment="1" applyProtection="1">
      <alignment horizontal="center" vertical="center"/>
      <protection hidden="1"/>
    </xf>
    <xf numFmtId="0" fontId="13" fillId="7" borderId="48" xfId="0" applyFont="1" applyFill="1" applyBorder="1" applyAlignment="1" applyProtection="1">
      <alignment horizontal="center" vertical="center"/>
      <protection hidden="1"/>
    </xf>
    <xf numFmtId="0" fontId="13" fillId="4" borderId="68" xfId="0" applyFont="1" applyFill="1" applyBorder="1" applyAlignment="1" applyProtection="1">
      <alignment horizontal="center" vertical="center"/>
      <protection hidden="1"/>
    </xf>
    <xf numFmtId="10" fontId="13" fillId="4" borderId="34" xfId="1" applyNumberFormat="1" applyFont="1" applyFill="1" applyBorder="1" applyAlignment="1" applyProtection="1">
      <alignment horizontal="center" vertical="center"/>
      <protection hidden="1"/>
    </xf>
    <xf numFmtId="9" fontId="13" fillId="4" borderId="66" xfId="1" applyNumberFormat="1" applyFont="1" applyFill="1" applyBorder="1" applyAlignment="1" applyProtection="1">
      <alignment horizontal="center" vertical="center"/>
      <protection hidden="1"/>
    </xf>
    <xf numFmtId="0" fontId="0" fillId="0" borderId="0" xfId="0" applyFont="1"/>
    <xf numFmtId="0" fontId="0" fillId="0" borderId="0" xfId="1" applyNumberFormat="1" applyFont="1" applyFill="1"/>
    <xf numFmtId="0" fontId="0" fillId="0" borderId="0" xfId="0" applyNumberFormat="1" applyFill="1"/>
    <xf numFmtId="0" fontId="0" fillId="0" borderId="0" xfId="0" applyNumberFormat="1" applyFill="1" applyBorder="1"/>
    <xf numFmtId="0" fontId="0" fillId="0" borderId="0" xfId="1" applyNumberFormat="1" applyFont="1" applyFill="1" applyBorder="1"/>
    <xf numFmtId="0" fontId="3" fillId="0" borderId="0" xfId="0" applyFont="1" applyAlignment="1">
      <alignment horizontal="center"/>
    </xf>
    <xf numFmtId="0" fontId="0" fillId="0" borderId="0" xfId="0" applyAlignment="1">
      <alignment horizontal="center"/>
    </xf>
    <xf numFmtId="0" fontId="0" fillId="0" borderId="0" xfId="0" applyFill="1" applyAlignment="1">
      <alignment horizontal="center"/>
    </xf>
    <xf numFmtId="0" fontId="0" fillId="0" borderId="0" xfId="0" applyFill="1" applyBorder="1" applyAlignment="1">
      <alignment horizontal="center"/>
    </xf>
    <xf numFmtId="10" fontId="0" fillId="0" borderId="0" xfId="1" applyNumberFormat="1" applyFont="1" applyFill="1" applyBorder="1" applyAlignment="1">
      <alignment horizontal="center"/>
    </xf>
    <xf numFmtId="10" fontId="0" fillId="0" borderId="0" xfId="1" applyNumberFormat="1" applyFont="1" applyFill="1" applyAlignment="1">
      <alignment horizontal="center"/>
    </xf>
    <xf numFmtId="0" fontId="5" fillId="4" borderId="19" xfId="0" applyFont="1" applyFill="1" applyBorder="1" applyProtection="1">
      <protection hidden="1"/>
    </xf>
    <xf numFmtId="14" fontId="6" fillId="4" borderId="0" xfId="0" applyNumberFormat="1" applyFont="1" applyFill="1" applyProtection="1">
      <protection hidden="1"/>
    </xf>
    <xf numFmtId="0" fontId="6" fillId="4" borderId="18" xfId="0" applyFont="1" applyFill="1" applyBorder="1" applyProtection="1">
      <protection hidden="1"/>
    </xf>
    <xf numFmtId="0" fontId="6" fillId="4" borderId="19" xfId="0" applyFont="1" applyFill="1" applyBorder="1" applyProtection="1">
      <protection hidden="1"/>
    </xf>
    <xf numFmtId="0" fontId="6" fillId="4" borderId="0" xfId="0" applyFont="1" applyFill="1" applyProtection="1">
      <protection hidden="1"/>
    </xf>
    <xf numFmtId="0" fontId="0" fillId="4" borderId="18" xfId="0" applyFont="1" applyFill="1" applyBorder="1"/>
    <xf numFmtId="0" fontId="6" fillId="4" borderId="70" xfId="0" applyFont="1" applyFill="1" applyBorder="1" applyProtection="1">
      <protection hidden="1"/>
    </xf>
    <xf numFmtId="0" fontId="23" fillId="9" borderId="5" xfId="0" applyFont="1" applyFill="1" applyBorder="1" applyAlignment="1" applyProtection="1">
      <alignment horizontal="center" vertical="center"/>
      <protection hidden="1"/>
    </xf>
    <xf numFmtId="0" fontId="5" fillId="9" borderId="1" xfId="0" applyFont="1" applyFill="1" applyBorder="1" applyAlignment="1" applyProtection="1">
      <protection hidden="1"/>
    </xf>
    <xf numFmtId="0" fontId="22" fillId="9" borderId="2" xfId="0" applyFont="1" applyFill="1" applyBorder="1" applyAlignment="1" applyProtection="1">
      <alignment horizontal="center" vertical="center"/>
      <protection hidden="1"/>
    </xf>
    <xf numFmtId="0" fontId="5" fillId="9" borderId="3" xfId="0" applyFont="1" applyFill="1" applyBorder="1" applyAlignment="1" applyProtection="1">
      <protection hidden="1"/>
    </xf>
    <xf numFmtId="0" fontId="5" fillId="9" borderId="4" xfId="0" applyFont="1" applyFill="1" applyBorder="1" applyAlignment="1" applyProtection="1">
      <protection hidden="1"/>
    </xf>
    <xf numFmtId="0" fontId="5" fillId="9" borderId="6" xfId="0" applyFont="1" applyFill="1" applyBorder="1" applyAlignment="1" applyProtection="1">
      <protection hidden="1"/>
    </xf>
    <xf numFmtId="0" fontId="21" fillId="9" borderId="69" xfId="0" applyFont="1" applyFill="1" applyBorder="1" applyAlignment="1" applyProtection="1">
      <alignment horizontal="center" vertical="center"/>
      <protection hidden="1"/>
    </xf>
    <xf numFmtId="0" fontId="16" fillId="9" borderId="5" xfId="0" applyFont="1" applyFill="1" applyBorder="1" applyAlignment="1" applyProtection="1">
      <alignment horizontal="right"/>
      <protection hidden="1"/>
    </xf>
    <xf numFmtId="0" fontId="13" fillId="9" borderId="7" xfId="0" applyFont="1" applyFill="1" applyBorder="1" applyAlignment="1" applyProtection="1">
      <protection hidden="1"/>
    </xf>
    <xf numFmtId="0" fontId="2" fillId="9" borderId="8" xfId="2" applyFont="1" applyFill="1" applyBorder="1" applyAlignment="1" applyProtection="1">
      <alignment wrapText="1"/>
      <protection hidden="1"/>
    </xf>
    <xf numFmtId="0" fontId="13" fillId="9" borderId="9" xfId="0" applyFont="1" applyFill="1" applyBorder="1" applyAlignment="1" applyProtection="1">
      <protection hidden="1"/>
    </xf>
    <xf numFmtId="0" fontId="13" fillId="9" borderId="10" xfId="0" applyFont="1" applyFill="1" applyBorder="1" applyAlignment="1" applyProtection="1">
      <protection hidden="1"/>
    </xf>
    <xf numFmtId="0" fontId="2" fillId="9" borderId="0" xfId="2" applyFont="1" applyFill="1" applyBorder="1" applyAlignment="1" applyProtection="1">
      <alignment wrapText="1"/>
      <protection hidden="1"/>
    </xf>
    <xf numFmtId="0" fontId="13" fillId="9" borderId="11" xfId="0" applyFont="1" applyFill="1" applyBorder="1" applyAlignment="1" applyProtection="1">
      <protection hidden="1"/>
    </xf>
    <xf numFmtId="0" fontId="4" fillId="9" borderId="0" xfId="2" applyFont="1" applyFill="1" applyBorder="1" applyAlignment="1" applyProtection="1">
      <alignment vertical="center" wrapText="1"/>
      <protection hidden="1"/>
    </xf>
    <xf numFmtId="0" fontId="2" fillId="9" borderId="0" xfId="3" applyFont="1" applyFill="1" applyBorder="1" applyAlignment="1" applyProtection="1">
      <protection hidden="1"/>
    </xf>
    <xf numFmtId="0" fontId="4" fillId="9" borderId="0" xfId="4" applyFont="1" applyFill="1" applyBorder="1" applyAlignment="1"/>
    <xf numFmtId="0" fontId="4" fillId="9" borderId="0" xfId="2" applyFont="1" applyFill="1" applyBorder="1" applyAlignment="1" applyProtection="1">
      <alignment wrapText="1"/>
      <protection hidden="1"/>
    </xf>
    <xf numFmtId="0" fontId="4" fillId="9" borderId="0" xfId="2" applyFont="1" applyFill="1" applyBorder="1" applyAlignment="1" applyProtection="1">
      <protection hidden="1"/>
    </xf>
    <xf numFmtId="0" fontId="4" fillId="9" borderId="0" xfId="3" applyFont="1" applyFill="1" applyBorder="1" applyAlignment="1" applyProtection="1">
      <protection hidden="1"/>
    </xf>
    <xf numFmtId="0" fontId="4" fillId="9" borderId="0" xfId="3" applyFont="1" applyFill="1" applyBorder="1" applyAlignment="1" applyProtection="1">
      <alignment wrapText="1"/>
      <protection hidden="1"/>
    </xf>
    <xf numFmtId="0" fontId="13" fillId="9" borderId="12" xfId="0" applyFont="1" applyFill="1" applyBorder="1" applyAlignment="1" applyProtection="1">
      <protection hidden="1"/>
    </xf>
    <xf numFmtId="0" fontId="4" fillId="9" borderId="13" xfId="3" applyFont="1" applyFill="1" applyBorder="1" applyAlignment="1" applyProtection="1">
      <protection hidden="1"/>
    </xf>
    <xf numFmtId="0" fontId="13" fillId="9" borderId="14" xfId="0" applyFont="1" applyFill="1" applyBorder="1" applyAlignment="1" applyProtection="1">
      <protection hidden="1"/>
    </xf>
    <xf numFmtId="0" fontId="14" fillId="9" borderId="15" xfId="5" applyFont="1" applyFill="1" applyBorder="1" applyAlignment="1">
      <protection hidden="1"/>
    </xf>
    <xf numFmtId="0" fontId="12" fillId="9" borderId="16" xfId="5" applyFill="1" applyBorder="1" applyAlignment="1">
      <protection hidden="1"/>
    </xf>
    <xf numFmtId="0" fontId="12" fillId="9" borderId="17" xfId="5" applyFill="1" applyBorder="1" applyAlignment="1">
      <protection hidden="1"/>
    </xf>
    <xf numFmtId="0" fontId="5" fillId="0" borderId="24" xfId="0" applyFont="1" applyBorder="1" applyAlignment="1" applyProtection="1">
      <alignment horizontal="left" vertical="center"/>
      <protection hidden="1"/>
    </xf>
    <xf numFmtId="0" fontId="5" fillId="0" borderId="43" xfId="0" applyFont="1" applyBorder="1" applyAlignment="1" applyProtection="1">
      <alignment horizontal="left" vertical="center"/>
      <protection hidden="1"/>
    </xf>
    <xf numFmtId="0" fontId="0" fillId="4" borderId="0" xfId="0" applyFill="1" applyAlignment="1">
      <alignment horizontal="left" vertical="center"/>
    </xf>
    <xf numFmtId="0" fontId="5" fillId="4" borderId="0" xfId="0" applyFont="1" applyFill="1" applyBorder="1" applyAlignment="1" applyProtection="1">
      <alignment horizontal="left" vertical="center"/>
      <protection hidden="1"/>
    </xf>
    <xf numFmtId="0" fontId="15" fillId="2" borderId="0" xfId="0" applyFont="1" applyFill="1" applyBorder="1" applyAlignment="1" applyProtection="1">
      <alignment horizontal="left" vertical="center"/>
      <protection hidden="1"/>
    </xf>
    <xf numFmtId="0" fontId="15" fillId="2" borderId="0" xfId="0" applyFont="1" applyFill="1" applyBorder="1" applyProtection="1">
      <protection hidden="1"/>
    </xf>
    <xf numFmtId="0" fontId="13" fillId="4" borderId="0" xfId="0" applyFont="1" applyFill="1" applyProtection="1">
      <protection hidden="1"/>
    </xf>
    <xf numFmtId="10" fontId="0" fillId="0" borderId="0" xfId="1" applyNumberFormat="1" applyFont="1"/>
    <xf numFmtId="0" fontId="3" fillId="0" borderId="0" xfId="0" applyFont="1" applyAlignment="1">
      <alignment horizontal="left" vertical="center"/>
    </xf>
    <xf numFmtId="167" fontId="17" fillId="4" borderId="33" xfId="0" applyNumberFormat="1" applyFont="1" applyFill="1" applyBorder="1" applyAlignment="1" applyProtection="1">
      <alignment horizontal="center" vertical="center"/>
      <protection hidden="1"/>
    </xf>
    <xf numFmtId="167" fontId="17" fillId="4" borderId="29" xfId="1" applyNumberFormat="1" applyFont="1" applyFill="1" applyBorder="1" applyAlignment="1" applyProtection="1">
      <alignment horizontal="center" vertical="center"/>
      <protection hidden="1"/>
    </xf>
    <xf numFmtId="0" fontId="5" fillId="0" borderId="71" xfId="0" applyFont="1" applyBorder="1" applyAlignment="1" applyProtection="1">
      <alignment horizontal="center" vertical="center"/>
      <protection hidden="1"/>
    </xf>
    <xf numFmtId="166" fontId="5" fillId="4" borderId="72" xfId="1" applyNumberFormat="1" applyFont="1" applyFill="1" applyBorder="1" applyAlignment="1" applyProtection="1">
      <alignment horizontal="center" vertical="center"/>
      <protection hidden="1"/>
    </xf>
    <xf numFmtId="167" fontId="17" fillId="4" borderId="73" xfId="1" applyNumberFormat="1" applyFont="1" applyFill="1" applyBorder="1" applyAlignment="1" applyProtection="1">
      <alignment horizontal="center" vertical="center"/>
      <protection hidden="1"/>
    </xf>
    <xf numFmtId="0" fontId="3" fillId="0" borderId="0" xfId="0" applyFont="1" applyFill="1"/>
    <xf numFmtId="0" fontId="3" fillId="0" borderId="0" xfId="0" applyFont="1" applyFill="1" applyAlignment="1">
      <alignment horizontal="center" vertical="center"/>
    </xf>
    <xf numFmtId="10" fontId="3" fillId="0" borderId="0" xfId="1" applyNumberFormat="1" applyFont="1" applyFill="1" applyAlignment="1">
      <alignment horizontal="center" vertical="center"/>
    </xf>
    <xf numFmtId="0" fontId="0" fillId="0" borderId="0" xfId="0" applyFont="1" applyFill="1" applyAlignment="1">
      <alignment horizontal="center" vertical="center"/>
    </xf>
    <xf numFmtId="0" fontId="3" fillId="0" borderId="0" xfId="0" applyFont="1" applyFill="1" applyAlignment="1">
      <alignment horizontal="center"/>
    </xf>
    <xf numFmtId="10" fontId="0" fillId="0" borderId="0" xfId="1" applyNumberFormat="1" applyFont="1" applyFill="1" applyAlignment="1">
      <alignment horizontal="center" vertical="center"/>
    </xf>
    <xf numFmtId="2" fontId="0" fillId="0" borderId="0" xfId="6" applyNumberFormat="1" applyFont="1" applyFill="1" applyAlignment="1">
      <alignment horizontal="center" vertical="center"/>
    </xf>
    <xf numFmtId="2" fontId="0" fillId="0" borderId="0" xfId="1" applyNumberFormat="1" applyFont="1" applyFill="1" applyAlignment="1">
      <alignment horizontal="center" vertical="center"/>
    </xf>
    <xf numFmtId="10" fontId="0" fillId="0" borderId="0" xfId="0" applyNumberFormat="1" applyFill="1"/>
    <xf numFmtId="0" fontId="0" fillId="0" borderId="59" xfId="0" applyFill="1" applyBorder="1"/>
    <xf numFmtId="2" fontId="0" fillId="0" borderId="59" xfId="0" applyNumberFormat="1" applyFill="1" applyBorder="1" applyAlignment="1">
      <alignment horizontal="center" vertical="center"/>
    </xf>
    <xf numFmtId="44" fontId="13" fillId="7" borderId="49" xfId="1" applyNumberFormat="1" applyFont="1" applyFill="1" applyBorder="1" applyAlignment="1" applyProtection="1">
      <alignment horizontal="center" vertical="center"/>
      <protection hidden="1"/>
    </xf>
    <xf numFmtId="0" fontId="5" fillId="0" borderId="67" xfId="0" applyFont="1" applyBorder="1" applyAlignment="1" applyProtection="1">
      <alignment horizontal="center" vertical="center"/>
      <protection hidden="1"/>
    </xf>
    <xf numFmtId="44" fontId="5" fillId="0" borderId="27" xfId="1" applyNumberFormat="1" applyFont="1" applyBorder="1" applyAlignment="1" applyProtection="1">
      <alignment horizontal="center" vertical="center"/>
      <protection hidden="1"/>
    </xf>
    <xf numFmtId="44" fontId="5" fillId="0" borderId="27" xfId="0" applyNumberFormat="1" applyFont="1" applyBorder="1" applyAlignment="1" applyProtection="1">
      <alignment horizontal="center" vertical="center"/>
      <protection hidden="1"/>
    </xf>
    <xf numFmtId="44" fontId="5" fillId="0" borderId="74" xfId="0" applyNumberFormat="1" applyFont="1" applyBorder="1" applyAlignment="1" applyProtection="1">
      <alignment horizontal="center" vertical="center"/>
      <protection hidden="1"/>
    </xf>
    <xf numFmtId="44" fontId="13" fillId="7" borderId="36" xfId="1" applyNumberFormat="1" applyFont="1" applyFill="1" applyBorder="1" applyAlignment="1" applyProtection="1">
      <alignment horizontal="center" vertical="center"/>
      <protection hidden="1"/>
    </xf>
    <xf numFmtId="44" fontId="13" fillId="7" borderId="42" xfId="1" applyNumberFormat="1" applyFont="1" applyFill="1" applyBorder="1" applyAlignment="1" applyProtection="1">
      <alignment horizontal="center" vertical="center"/>
      <protection hidden="1"/>
    </xf>
    <xf numFmtId="168" fontId="27" fillId="0" borderId="0" xfId="0" applyNumberFormat="1" applyFont="1"/>
    <xf numFmtId="49" fontId="3" fillId="0" borderId="0" xfId="0" applyNumberFormat="1" applyFont="1" applyAlignment="1">
      <alignment horizontal="center" vertical="center"/>
    </xf>
    <xf numFmtId="10" fontId="27" fillId="0" borderId="0" xfId="1" applyNumberFormat="1" applyFont="1"/>
    <xf numFmtId="0" fontId="5" fillId="0" borderId="75" xfId="0" applyFont="1" applyBorder="1" applyAlignment="1" applyProtection="1">
      <alignment horizontal="center" vertical="center"/>
      <protection hidden="1"/>
    </xf>
    <xf numFmtId="166" fontId="13" fillId="7" borderId="64" xfId="1" applyNumberFormat="1" applyFont="1" applyFill="1" applyBorder="1" applyAlignment="1" applyProtection="1">
      <alignment horizontal="center" vertical="center"/>
      <protection hidden="1"/>
    </xf>
    <xf numFmtId="166" fontId="5" fillId="0" borderId="62" xfId="1" applyNumberFormat="1" applyFont="1" applyBorder="1" applyAlignment="1" applyProtection="1">
      <alignment horizontal="center" vertical="center"/>
      <protection hidden="1"/>
    </xf>
    <xf numFmtId="166" fontId="13" fillId="7" borderId="62" xfId="1" applyNumberFormat="1" applyFont="1" applyFill="1" applyBorder="1" applyAlignment="1" applyProtection="1">
      <alignment horizontal="center" vertical="center"/>
      <protection hidden="1"/>
    </xf>
    <xf numFmtId="166" fontId="13" fillId="7" borderId="65" xfId="1" applyNumberFormat="1" applyFont="1" applyFill="1" applyBorder="1" applyAlignment="1" applyProtection="1">
      <alignment horizontal="center" vertical="center"/>
      <protection hidden="1"/>
    </xf>
    <xf numFmtId="166" fontId="5" fillId="0" borderId="76" xfId="1" applyNumberFormat="1" applyFont="1" applyBorder="1" applyAlignment="1" applyProtection="1">
      <alignment horizontal="center" vertical="center"/>
      <protection hidden="1"/>
    </xf>
    <xf numFmtId="166" fontId="13" fillId="7" borderId="38" xfId="1" applyNumberFormat="1" applyFont="1" applyFill="1" applyBorder="1" applyAlignment="1" applyProtection="1">
      <alignment horizontal="center" vertical="center"/>
      <protection hidden="1"/>
    </xf>
    <xf numFmtId="166" fontId="5" fillId="0" borderId="40" xfId="1" applyNumberFormat="1" applyFont="1" applyBorder="1" applyAlignment="1" applyProtection="1">
      <alignment horizontal="center" vertical="center"/>
      <protection hidden="1"/>
    </xf>
    <xf numFmtId="166" fontId="13" fillId="7" borderId="40" xfId="1" applyNumberFormat="1" applyFont="1" applyFill="1" applyBorder="1" applyAlignment="1" applyProtection="1">
      <alignment horizontal="center" vertical="center"/>
      <protection hidden="1"/>
    </xf>
    <xf numFmtId="166" fontId="13" fillId="7" borderId="50" xfId="1" applyNumberFormat="1" applyFont="1" applyFill="1" applyBorder="1" applyAlignment="1" applyProtection="1">
      <alignment horizontal="center" vertical="center"/>
      <protection hidden="1"/>
    </xf>
    <xf numFmtId="166" fontId="5" fillId="0" borderId="77" xfId="1" applyNumberFormat="1" applyFont="1" applyBorder="1" applyAlignment="1" applyProtection="1">
      <alignment horizontal="center" vertical="center"/>
      <protection hidden="1"/>
    </xf>
    <xf numFmtId="167" fontId="19" fillId="7" borderId="68" xfId="1" applyNumberFormat="1" applyFont="1" applyFill="1" applyBorder="1" applyAlignment="1" applyProtection="1">
      <alignment horizontal="center" vertical="center"/>
      <protection hidden="1"/>
    </xf>
    <xf numFmtId="166" fontId="13" fillId="7" borderId="68" xfId="1" applyNumberFormat="1" applyFont="1" applyFill="1" applyBorder="1" applyAlignment="1" applyProtection="1">
      <alignment horizontal="center" vertical="center"/>
      <protection hidden="1"/>
    </xf>
    <xf numFmtId="2" fontId="5" fillId="0" borderId="71" xfId="0" applyNumberFormat="1" applyFont="1" applyBorder="1" applyAlignment="1" applyProtection="1">
      <alignment horizontal="center" vertical="center"/>
      <protection hidden="1"/>
    </xf>
    <xf numFmtId="166" fontId="5" fillId="4" borderId="72" xfId="0" applyNumberFormat="1" applyFont="1" applyFill="1" applyBorder="1" applyAlignment="1" applyProtection="1">
      <alignment horizontal="center" vertical="center"/>
      <protection hidden="1"/>
    </xf>
    <xf numFmtId="167" fontId="17" fillId="4" borderId="73" xfId="0" applyNumberFormat="1" applyFont="1" applyFill="1" applyBorder="1" applyAlignment="1" applyProtection="1">
      <alignment horizontal="center" vertical="center"/>
      <protection hidden="1"/>
    </xf>
    <xf numFmtId="0" fontId="24" fillId="0" borderId="17" xfId="0" applyFont="1" applyBorder="1" applyAlignment="1" applyProtection="1">
      <alignment horizontal="center" vertical="center"/>
      <protection hidden="1"/>
    </xf>
    <xf numFmtId="166" fontId="28" fillId="7" borderId="47" xfId="1" applyNumberFormat="1" applyFont="1" applyFill="1" applyBorder="1" applyAlignment="1" applyProtection="1">
      <alignment horizontal="center" vertical="center"/>
      <protection hidden="1"/>
    </xf>
    <xf numFmtId="167" fontId="25" fillId="7" borderId="46" xfId="1" applyNumberFormat="1" applyFont="1" applyFill="1" applyBorder="1" applyAlignment="1" applyProtection="1">
      <alignment horizontal="center" vertical="center"/>
      <protection hidden="1"/>
    </xf>
    <xf numFmtId="166" fontId="24" fillId="4" borderId="53" xfId="1" applyNumberFormat="1" applyFont="1" applyFill="1" applyBorder="1" applyAlignment="1" applyProtection="1">
      <alignment horizontal="center" vertical="center"/>
      <protection hidden="1"/>
    </xf>
    <xf numFmtId="167" fontId="29" fillId="4" borderId="54" xfId="1" applyNumberFormat="1" applyFont="1" applyFill="1" applyBorder="1" applyAlignment="1" applyProtection="1">
      <alignment horizontal="center" vertical="center"/>
      <protection hidden="1"/>
    </xf>
    <xf numFmtId="166" fontId="28" fillId="7" borderId="19" xfId="1" applyNumberFormat="1" applyFont="1" applyFill="1" applyBorder="1" applyAlignment="1" applyProtection="1">
      <alignment horizontal="center" vertical="center"/>
      <protection hidden="1"/>
    </xf>
    <xf numFmtId="167" fontId="25" fillId="7" borderId="19" xfId="1" applyNumberFormat="1" applyFont="1" applyFill="1" applyBorder="1" applyAlignment="1" applyProtection="1">
      <alignment horizontal="center" vertical="center"/>
      <protection hidden="1"/>
    </xf>
    <xf numFmtId="167" fontId="25" fillId="7" borderId="6" xfId="1" applyNumberFormat="1" applyFont="1" applyFill="1" applyBorder="1" applyAlignment="1" applyProtection="1">
      <alignment horizontal="center" vertical="center"/>
      <protection hidden="1"/>
    </xf>
    <xf numFmtId="0" fontId="24" fillId="0" borderId="43" xfId="0" applyFont="1" applyBorder="1" applyAlignment="1" applyProtection="1">
      <alignment horizontal="center" vertical="center"/>
      <protection hidden="1"/>
    </xf>
    <xf numFmtId="167" fontId="29" fillId="4" borderId="6" xfId="1"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protection hidden="1"/>
    </xf>
    <xf numFmtId="167" fontId="25" fillId="7" borderId="34" xfId="1" applyNumberFormat="1" applyFont="1" applyFill="1" applyBorder="1" applyAlignment="1" applyProtection="1">
      <alignment horizontal="center" vertical="center"/>
      <protection hidden="1"/>
    </xf>
    <xf numFmtId="166" fontId="28" fillId="7" borderId="34" xfId="1" applyNumberFormat="1" applyFont="1" applyFill="1" applyBorder="1" applyAlignment="1" applyProtection="1">
      <alignment horizontal="center" vertical="center"/>
      <protection hidden="1"/>
    </xf>
    <xf numFmtId="167" fontId="25" fillId="7" borderId="51" xfId="1" applyNumberFormat="1" applyFont="1" applyFill="1" applyBorder="1" applyAlignment="1" applyProtection="1">
      <alignment horizontal="center" vertical="center"/>
      <protection hidden="1"/>
    </xf>
    <xf numFmtId="0" fontId="3" fillId="0" borderId="0" xfId="1" applyNumberFormat="1" applyFont="1" applyFill="1" applyAlignment="1">
      <alignment horizontal="center" vertical="center"/>
    </xf>
    <xf numFmtId="0" fontId="19" fillId="8" borderId="35" xfId="0" applyFont="1" applyFill="1" applyBorder="1" applyAlignment="1" applyProtection="1">
      <alignment horizontal="center"/>
      <protection locked="0"/>
    </xf>
    <xf numFmtId="0" fontId="19" fillId="8" borderId="28" xfId="0" applyFont="1" applyFill="1" applyBorder="1" applyAlignment="1" applyProtection="1">
      <alignment horizontal="center"/>
      <protection locked="0"/>
    </xf>
    <xf numFmtId="0" fontId="19" fillId="8" borderId="36" xfId="0" applyFont="1" applyFill="1" applyBorder="1" applyAlignment="1" applyProtection="1">
      <alignment horizontal="center"/>
      <protection locked="0"/>
    </xf>
    <xf numFmtId="9" fontId="13" fillId="8" borderId="26" xfId="0" applyNumberFormat="1" applyFont="1" applyFill="1" applyBorder="1" applyAlignment="1" applyProtection="1">
      <alignment horizontal="center"/>
      <protection locked="0"/>
    </xf>
    <xf numFmtId="9" fontId="13" fillId="8" borderId="6" xfId="0" applyNumberFormat="1" applyFont="1" applyFill="1" applyBorder="1" applyAlignment="1" applyProtection="1">
      <alignment horizontal="center"/>
      <protection locked="0"/>
    </xf>
    <xf numFmtId="0" fontId="0" fillId="0" borderId="0" xfId="0" applyNumberFormat="1" applyFont="1" applyFill="1" applyBorder="1" applyAlignment="1" applyProtection="1">
      <alignment horizontal="center" vertical="center"/>
    </xf>
    <xf numFmtId="169" fontId="0" fillId="0" borderId="0" xfId="0" applyNumberFormat="1" applyFill="1" applyAlignment="1">
      <alignment horizontal="center" vertical="center"/>
    </xf>
    <xf numFmtId="9" fontId="5" fillId="4" borderId="68" xfId="1" applyNumberFormat="1" applyFont="1" applyFill="1" applyBorder="1" applyAlignment="1" applyProtection="1">
      <alignment horizontal="center" vertical="center"/>
      <protection hidden="1"/>
    </xf>
    <xf numFmtId="0" fontId="7" fillId="4" borderId="0" xfId="0" applyFont="1" applyFill="1" applyBorder="1" applyProtection="1">
      <protection hidden="1"/>
    </xf>
    <xf numFmtId="0" fontId="15" fillId="4" borderId="0" xfId="0" applyFont="1" applyFill="1" applyBorder="1" applyAlignment="1" applyProtection="1">
      <alignment vertical="top" wrapText="1"/>
      <protection hidden="1"/>
    </xf>
    <xf numFmtId="0" fontId="5" fillId="0" borderId="60" xfId="0" applyFont="1" applyBorder="1" applyAlignment="1" applyProtection="1">
      <alignment horizontal="left" vertical="center"/>
      <protection hidden="1"/>
    </xf>
    <xf numFmtId="0" fontId="5" fillId="4" borderId="0" xfId="0" applyFont="1" applyFill="1" applyBorder="1" applyAlignment="1" applyProtection="1">
      <alignment vertical="top"/>
      <protection hidden="1"/>
    </xf>
    <xf numFmtId="9" fontId="0" fillId="0" borderId="0" xfId="0" applyNumberFormat="1" applyFont="1" applyAlignment="1">
      <alignment horizontal="center" vertical="center"/>
    </xf>
    <xf numFmtId="9" fontId="0" fillId="0" borderId="0" xfId="0" applyNumberFormat="1" applyAlignment="1">
      <alignment horizontal="center"/>
    </xf>
    <xf numFmtId="10" fontId="0" fillId="0" borderId="0" xfId="0" applyNumberFormat="1" applyAlignment="1">
      <alignment horizontal="center"/>
    </xf>
    <xf numFmtId="10" fontId="0" fillId="0" borderId="0" xfId="1" applyNumberFormat="1" applyFont="1" applyAlignment="1">
      <alignment horizontal="center"/>
    </xf>
    <xf numFmtId="9" fontId="0" fillId="0" borderId="0" xfId="1" applyFont="1" applyFill="1" applyAlignment="1">
      <alignment horizontal="center" vertical="center"/>
    </xf>
    <xf numFmtId="0" fontId="4" fillId="8" borderId="18" xfId="0" applyFont="1" applyFill="1" applyBorder="1"/>
    <xf numFmtId="0" fontId="4" fillId="8" borderId="19" xfId="0" applyFont="1" applyFill="1" applyBorder="1"/>
    <xf numFmtId="9" fontId="13" fillId="8" borderId="1" xfId="1" applyFont="1" applyFill="1" applyBorder="1" applyAlignment="1" applyProtection="1">
      <alignment horizontal="center"/>
      <protection locked="0" hidden="1"/>
    </xf>
    <xf numFmtId="0" fontId="33" fillId="8" borderId="3" xfId="0" applyFont="1" applyFill="1" applyBorder="1"/>
    <xf numFmtId="0" fontId="16" fillId="4" borderId="0" xfId="0" applyNumberFormat="1" applyFont="1" applyFill="1" applyBorder="1" applyAlignment="1">
      <alignment vertical="top"/>
    </xf>
    <xf numFmtId="9" fontId="3" fillId="0" borderId="0" xfId="0" applyNumberFormat="1" applyFont="1" applyAlignment="1">
      <alignment horizontal="center"/>
    </xf>
    <xf numFmtId="10" fontId="3" fillId="0" borderId="0" xfId="1" applyNumberFormat="1" applyFont="1"/>
    <xf numFmtId="0" fontId="0" fillId="0" borderId="0" xfId="0"/>
    <xf numFmtId="0" fontId="4" fillId="8" borderId="4" xfId="0" applyFont="1" applyFill="1" applyBorder="1"/>
    <xf numFmtId="0" fontId="4" fillId="8" borderId="6" xfId="0" applyFont="1" applyFill="1" applyBorder="1"/>
    <xf numFmtId="0" fontId="0" fillId="0" borderId="0" xfId="0" applyFont="1" applyAlignment="1">
      <alignment horizontal="center"/>
    </xf>
    <xf numFmtId="169" fontId="0" fillId="10" borderId="0" xfId="0" applyNumberFormat="1" applyFill="1" applyAlignment="1">
      <alignment horizontal="center" vertical="center"/>
    </xf>
    <xf numFmtId="10" fontId="0" fillId="10" borderId="0" xfId="0" applyNumberFormat="1" applyFill="1"/>
    <xf numFmtId="2" fontId="0" fillId="10" borderId="0" xfId="0" applyNumberFormat="1" applyFill="1"/>
    <xf numFmtId="10" fontId="0" fillId="10" borderId="0" xfId="1" applyNumberFormat="1" applyFont="1" applyFill="1"/>
    <xf numFmtId="2" fontId="0" fillId="10" borderId="0" xfId="1" applyNumberFormat="1" applyFont="1" applyFill="1"/>
    <xf numFmtId="0" fontId="0" fillId="10" borderId="0" xfId="0" applyFill="1"/>
    <xf numFmtId="0" fontId="0" fillId="10" borderId="0" xfId="0" applyFill="1" applyAlignment="1">
      <alignment horizontal="center"/>
    </xf>
    <xf numFmtId="10" fontId="0" fillId="10" borderId="0" xfId="1" applyNumberFormat="1" applyFont="1" applyFill="1" applyAlignment="1">
      <alignment horizontal="center" vertical="center"/>
    </xf>
    <xf numFmtId="2" fontId="0" fillId="10" borderId="0" xfId="6" applyNumberFormat="1" applyFont="1" applyFill="1" applyAlignment="1">
      <alignment horizontal="center" vertical="center"/>
    </xf>
    <xf numFmtId="2" fontId="0" fillId="10" borderId="0" xfId="1" applyNumberFormat="1" applyFont="1" applyFill="1" applyAlignment="1">
      <alignment horizontal="center" vertical="center"/>
    </xf>
    <xf numFmtId="10" fontId="0" fillId="10" borderId="0" xfId="1" applyNumberFormat="1" applyFont="1" applyFill="1" applyAlignment="1">
      <alignment horizontal="center"/>
    </xf>
    <xf numFmtId="0" fontId="0" fillId="10" borderId="0" xfId="1" applyNumberFormat="1" applyFont="1" applyFill="1"/>
    <xf numFmtId="0" fontId="0" fillId="10" borderId="0" xfId="0" applyNumberFormat="1" applyFill="1"/>
    <xf numFmtId="0" fontId="0" fillId="0" borderId="0" xfId="0" applyNumberFormat="1" applyAlignment="1">
      <alignment horizontal="center"/>
    </xf>
    <xf numFmtId="10" fontId="3" fillId="0" borderId="0" xfId="0" applyNumberFormat="1" applyFont="1"/>
    <xf numFmtId="166" fontId="5" fillId="0" borderId="28" xfId="1" applyNumberFormat="1" applyFont="1" applyBorder="1" applyAlignment="1" applyProtection="1">
      <alignment horizontal="center" vertical="center"/>
      <protection hidden="1"/>
    </xf>
    <xf numFmtId="9" fontId="13" fillId="7" borderId="27" xfId="1" applyNumberFormat="1" applyFont="1" applyFill="1" applyBorder="1" applyAlignment="1" applyProtection="1">
      <alignment horizontal="center" vertical="center"/>
      <protection hidden="1"/>
    </xf>
    <xf numFmtId="10" fontId="13" fillId="4" borderId="47" xfId="1" applyNumberFormat="1" applyFont="1" applyFill="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10" fontId="5" fillId="0" borderId="29" xfId="1" applyNumberFormat="1" applyFont="1" applyBorder="1" applyAlignment="1" applyProtection="1">
      <alignment horizontal="center" vertical="center"/>
      <protection hidden="1"/>
    </xf>
    <xf numFmtId="9" fontId="5" fillId="0" borderId="51" xfId="1" applyNumberFormat="1" applyFont="1" applyBorder="1" applyAlignment="1" applyProtection="1">
      <alignment horizontal="center" vertical="center"/>
      <protection hidden="1"/>
    </xf>
    <xf numFmtId="0" fontId="0" fillId="0" borderId="0" xfId="0" applyAlignment="1">
      <alignment wrapText="1"/>
    </xf>
    <xf numFmtId="0" fontId="13" fillId="8" borderId="20" xfId="0" applyFont="1" applyFill="1" applyBorder="1" applyAlignment="1" applyProtection="1">
      <alignment horizontal="left" vertical="center"/>
      <protection locked="0" hidden="1"/>
    </xf>
    <xf numFmtId="0" fontId="13" fillId="8" borderId="21" xfId="0" applyFont="1" applyFill="1" applyBorder="1" applyAlignment="1" applyProtection="1">
      <alignment horizontal="left" vertical="center"/>
      <protection locked="0" hidden="1"/>
    </xf>
    <xf numFmtId="0" fontId="5" fillId="4" borderId="31" xfId="0" applyFont="1" applyFill="1" applyBorder="1" applyAlignment="1" applyProtection="1">
      <alignment horizontal="center" vertical="center"/>
      <protection hidden="1"/>
    </xf>
    <xf numFmtId="0" fontId="5" fillId="4" borderId="32" xfId="0" applyFont="1" applyFill="1" applyBorder="1" applyAlignment="1" applyProtection="1">
      <alignment horizontal="center" vertical="center"/>
      <protection hidden="1"/>
    </xf>
    <xf numFmtId="0" fontId="5" fillId="4" borderId="33" xfId="0" applyFont="1" applyFill="1" applyBorder="1" applyAlignment="1" applyProtection="1">
      <alignment horizontal="center" vertical="center"/>
      <protection hidden="1"/>
    </xf>
    <xf numFmtId="0" fontId="18" fillId="4" borderId="15" xfId="0" applyFont="1" applyFill="1" applyBorder="1" applyAlignment="1">
      <alignment horizontal="center" vertical="center"/>
    </xf>
    <xf numFmtId="0" fontId="19" fillId="8" borderId="43" xfId="0" applyFont="1" applyFill="1" applyBorder="1" applyAlignment="1" applyProtection="1">
      <alignment horizontal="center" vertical="center"/>
      <protection locked="0"/>
    </xf>
    <xf numFmtId="0" fontId="20" fillId="4" borderId="0" xfId="0" applyFont="1" applyFill="1" applyAlignment="1">
      <alignment horizontal="left" vertical="center"/>
    </xf>
    <xf numFmtId="0" fontId="4" fillId="4" borderId="0" xfId="0" applyFont="1" applyFill="1" applyBorder="1" applyAlignment="1">
      <alignment vertical="center"/>
    </xf>
    <xf numFmtId="0" fontId="14" fillId="9" borderId="15" xfId="5" applyFont="1" applyFill="1" applyBorder="1" applyAlignment="1">
      <alignment vertical="center"/>
      <protection hidden="1"/>
    </xf>
    <xf numFmtId="0" fontId="12" fillId="9" borderId="16" xfId="5" applyFill="1" applyBorder="1" applyAlignment="1">
      <alignment vertical="center"/>
      <protection hidden="1"/>
    </xf>
    <xf numFmtId="0" fontId="12" fillId="9" borderId="17" xfId="5" applyFill="1" applyBorder="1" applyAlignment="1">
      <alignment vertical="center"/>
      <protection hidden="1"/>
    </xf>
    <xf numFmtId="0" fontId="5" fillId="4" borderId="18" xfId="0" applyFont="1" applyFill="1" applyBorder="1" applyAlignment="1" applyProtection="1">
      <alignment vertical="center"/>
      <protection hidden="1"/>
    </xf>
    <xf numFmtId="0" fontId="0" fillId="4" borderId="19" xfId="0" applyFill="1" applyBorder="1" applyAlignment="1">
      <alignment vertical="center"/>
    </xf>
    <xf numFmtId="0" fontId="0" fillId="4" borderId="18" xfId="0" applyFill="1" applyBorder="1" applyAlignment="1">
      <alignment vertical="center"/>
    </xf>
    <xf numFmtId="0" fontId="8" fillId="4" borderId="22" xfId="0" applyFont="1" applyFill="1" applyBorder="1" applyAlignment="1" applyProtection="1">
      <alignment horizontal="center" vertical="center"/>
      <protection hidden="1"/>
    </xf>
    <xf numFmtId="0" fontId="20" fillId="4" borderId="0" xfId="0" applyFont="1" applyFill="1" applyAlignment="1">
      <alignment vertical="center"/>
    </xf>
    <xf numFmtId="0" fontId="19" fillId="4" borderId="0" xfId="0" applyFont="1" applyFill="1" applyBorder="1" applyAlignment="1">
      <alignment horizontal="center" vertical="center"/>
    </xf>
    <xf numFmtId="0" fontId="18" fillId="4" borderId="0" xfId="0" applyFont="1" applyFill="1" applyBorder="1" applyAlignment="1">
      <alignment horizontal="center" vertical="center"/>
    </xf>
    <xf numFmtId="0" fontId="6" fillId="4" borderId="0" xfId="0" applyFont="1" applyFill="1" applyBorder="1" applyAlignment="1" applyProtection="1">
      <alignment vertical="center"/>
      <protection hidden="1"/>
    </xf>
    <xf numFmtId="9" fontId="13" fillId="4" borderId="0" xfId="0" applyNumberFormat="1" applyFont="1" applyFill="1" applyBorder="1" applyAlignment="1">
      <alignment horizontal="center" vertical="center"/>
    </xf>
    <xf numFmtId="0" fontId="0" fillId="4" borderId="0" xfId="0" applyFont="1" applyFill="1" applyBorder="1" applyAlignment="1">
      <alignment vertical="center"/>
    </xf>
    <xf numFmtId="0" fontId="1" fillId="4" borderId="18" xfId="0" applyFont="1" applyFill="1" applyBorder="1" applyAlignment="1">
      <alignment vertical="center"/>
    </xf>
    <xf numFmtId="0" fontId="1" fillId="4" borderId="0" xfId="0" applyFont="1" applyFill="1" applyBorder="1" applyAlignment="1">
      <alignment vertical="center"/>
    </xf>
    <xf numFmtId="0" fontId="5" fillId="4" borderId="4" xfId="0" applyFont="1" applyFill="1" applyBorder="1" applyAlignment="1" applyProtection="1">
      <alignment vertical="center"/>
      <protection hidden="1"/>
    </xf>
    <xf numFmtId="0" fontId="5" fillId="4" borderId="5" xfId="0" applyFont="1" applyFill="1" applyBorder="1" applyAlignment="1" applyProtection="1">
      <alignment vertical="center"/>
      <protection hidden="1"/>
    </xf>
    <xf numFmtId="0" fontId="0" fillId="4" borderId="6" xfId="0" applyFill="1" applyBorder="1" applyAlignment="1">
      <alignment vertical="center"/>
    </xf>
    <xf numFmtId="0" fontId="5" fillId="4" borderId="0" xfId="0" applyFont="1" applyFill="1" applyAlignment="1" applyProtection="1">
      <alignment vertical="center"/>
      <protection hidden="1"/>
    </xf>
    <xf numFmtId="0" fontId="3" fillId="4" borderId="19" xfId="0" applyFont="1" applyFill="1" applyBorder="1" applyAlignment="1">
      <alignment vertical="center"/>
    </xf>
    <xf numFmtId="0" fontId="13" fillId="8" borderId="20" xfId="0" applyFont="1" applyFill="1" applyBorder="1" applyAlignment="1" applyProtection="1">
      <alignment horizontal="center" vertical="center"/>
      <protection locked="0" hidden="1"/>
    </xf>
    <xf numFmtId="0" fontId="18" fillId="4" borderId="19" xfId="0" applyFont="1" applyFill="1" applyBorder="1" applyAlignment="1">
      <alignment horizontal="center" vertical="center"/>
    </xf>
    <xf numFmtId="0" fontId="13" fillId="8" borderId="21" xfId="0" applyFont="1" applyFill="1" applyBorder="1" applyAlignment="1" applyProtection="1">
      <alignment horizontal="center" vertical="center"/>
      <protection locked="0" hidden="1"/>
    </xf>
    <xf numFmtId="0" fontId="0" fillId="4" borderId="0" xfId="0" applyFill="1" applyAlignment="1">
      <alignment horizontal="right" vertical="center"/>
    </xf>
    <xf numFmtId="9" fontId="13" fillId="8" borderId="20" xfId="1" applyFont="1" applyFill="1" applyBorder="1" applyAlignment="1" applyProtection="1">
      <alignment horizontal="center" vertical="center"/>
      <protection locked="0" hidden="1"/>
    </xf>
    <xf numFmtId="0" fontId="3" fillId="4" borderId="0" xfId="0" applyFont="1" applyFill="1" applyBorder="1" applyAlignment="1">
      <alignment vertical="center"/>
    </xf>
    <xf numFmtId="0" fontId="18" fillId="4" borderId="1" xfId="0" applyFont="1" applyFill="1" applyBorder="1" applyAlignment="1">
      <alignment horizontal="center" vertical="center"/>
    </xf>
    <xf numFmtId="0" fontId="19" fillId="8" borderId="47" xfId="0" applyFont="1" applyFill="1" applyBorder="1" applyAlignment="1" applyProtection="1">
      <alignment horizontal="center" vertical="center"/>
      <protection locked="0"/>
    </xf>
    <xf numFmtId="0" fontId="18" fillId="4" borderId="4" xfId="0" applyFont="1" applyFill="1" applyBorder="1" applyAlignment="1">
      <alignment horizontal="center" vertical="center"/>
    </xf>
    <xf numFmtId="0" fontId="19" fillId="8" borderId="42" xfId="0" applyFont="1" applyFill="1" applyBorder="1" applyAlignment="1" applyProtection="1">
      <alignment horizontal="center" vertical="center"/>
      <protection locked="0"/>
    </xf>
    <xf numFmtId="9" fontId="4" fillId="4" borderId="0" xfId="0" applyNumberFormat="1" applyFont="1" applyFill="1" applyAlignment="1">
      <alignment vertical="center"/>
    </xf>
    <xf numFmtId="0" fontId="26" fillId="0" borderId="0" xfId="0" applyFont="1" applyAlignment="1">
      <alignment vertical="center"/>
    </xf>
    <xf numFmtId="9" fontId="5" fillId="4" borderId="21" xfId="1" applyFont="1" applyFill="1" applyBorder="1" applyAlignment="1" applyProtection="1">
      <alignment horizontal="center" vertical="center"/>
      <protection hidden="1"/>
    </xf>
    <xf numFmtId="4" fontId="13" fillId="5" borderId="79" xfId="0" applyNumberFormat="1" applyFont="1" applyFill="1" applyBorder="1" applyAlignment="1" applyProtection="1">
      <alignment horizontal="center" vertical="center"/>
      <protection locked="0" hidden="1"/>
    </xf>
    <xf numFmtId="44" fontId="5" fillId="0" borderId="80" xfId="1" applyNumberFormat="1" applyFont="1" applyBorder="1" applyAlignment="1" applyProtection="1">
      <alignment horizontal="center" vertical="center"/>
      <protection hidden="1"/>
    </xf>
    <xf numFmtId="44" fontId="13" fillId="7" borderId="81" xfId="1" applyNumberFormat="1" applyFont="1" applyFill="1" applyBorder="1" applyAlignment="1" applyProtection="1">
      <alignment horizontal="center" vertical="center"/>
      <protection hidden="1"/>
    </xf>
    <xf numFmtId="44" fontId="5" fillId="0" borderId="81" xfId="1" applyNumberFormat="1" applyFont="1" applyBorder="1" applyAlignment="1" applyProtection="1">
      <alignment horizontal="center" vertical="center"/>
      <protection hidden="1"/>
    </xf>
    <xf numFmtId="44" fontId="13" fillId="7" borderId="82" xfId="1" applyNumberFormat="1" applyFont="1" applyFill="1" applyBorder="1" applyAlignment="1" applyProtection="1">
      <alignment horizontal="center" vertical="center"/>
      <protection hidden="1"/>
    </xf>
    <xf numFmtId="9" fontId="13" fillId="4" borderId="0" xfId="0" applyNumberFormat="1" applyFont="1" applyFill="1" applyAlignment="1">
      <alignment horizontal="center" vertical="center"/>
    </xf>
    <xf numFmtId="9" fontId="0" fillId="0" borderId="0" xfId="0" applyNumberFormat="1"/>
    <xf numFmtId="170" fontId="0" fillId="0" borderId="0" xfId="0" applyNumberFormat="1"/>
    <xf numFmtId="0" fontId="5" fillId="0" borderId="30" xfId="0" applyFont="1" applyBorder="1" applyAlignment="1" applyProtection="1">
      <alignment horizontal="left" vertical="center"/>
      <protection hidden="1"/>
    </xf>
    <xf numFmtId="0" fontId="12" fillId="4" borderId="0" xfId="0" applyFont="1" applyFill="1" applyBorder="1" applyAlignment="1">
      <alignment horizontal="center" vertical="center"/>
    </xf>
    <xf numFmtId="165" fontId="0" fillId="0" borderId="0" xfId="0" applyNumberFormat="1" applyFill="1" applyAlignment="1">
      <alignment horizontal="center" vertical="center"/>
    </xf>
    <xf numFmtId="165" fontId="0" fillId="10" borderId="0" xfId="0" applyNumberFormat="1" applyFill="1" applyAlignment="1">
      <alignment horizontal="center" vertical="center"/>
    </xf>
    <xf numFmtId="0" fontId="5" fillId="4" borderId="62" xfId="0" applyFont="1" applyFill="1" applyBorder="1" applyAlignment="1" applyProtection="1">
      <alignment horizontal="center" vertical="center"/>
      <protection hidden="1"/>
    </xf>
    <xf numFmtId="0" fontId="13" fillId="4" borderId="62" xfId="0" applyFont="1" applyFill="1" applyBorder="1" applyAlignment="1" applyProtection="1">
      <alignment horizontal="center" vertical="center"/>
      <protection hidden="1"/>
    </xf>
    <xf numFmtId="2" fontId="13" fillId="4" borderId="0" xfId="0" applyNumberFormat="1" applyFont="1" applyFill="1" applyBorder="1" applyAlignment="1" applyProtection="1">
      <alignment horizontal="center" vertical="center"/>
      <protection hidden="1"/>
    </xf>
    <xf numFmtId="166" fontId="24" fillId="4" borderId="49" xfId="1" applyNumberFormat="1" applyFont="1" applyFill="1" applyBorder="1" applyAlignment="1" applyProtection="1">
      <alignment horizontal="center" vertical="center"/>
      <protection hidden="1"/>
    </xf>
    <xf numFmtId="167" fontId="29" fillId="4" borderId="29" xfId="1" applyNumberFormat="1" applyFont="1" applyFill="1" applyBorder="1" applyAlignment="1" applyProtection="1">
      <alignment horizontal="center" vertical="center"/>
      <protection hidden="1"/>
    </xf>
    <xf numFmtId="9" fontId="5" fillId="0" borderId="84" xfId="1" applyNumberFormat="1" applyFont="1" applyBorder="1" applyAlignment="1" applyProtection="1">
      <alignment horizontal="center" vertical="center"/>
      <protection hidden="1"/>
    </xf>
    <xf numFmtId="2" fontId="5" fillId="0" borderId="58" xfId="0" applyNumberFormat="1" applyFont="1" applyBorder="1" applyAlignment="1" applyProtection="1">
      <alignment horizontal="center" vertical="center"/>
      <protection locked="0" hidden="1"/>
    </xf>
    <xf numFmtId="2" fontId="5" fillId="0" borderId="57" xfId="0" applyNumberFormat="1" applyFont="1" applyBorder="1" applyAlignment="1" applyProtection="1">
      <alignment horizontal="center" vertical="center"/>
      <protection locked="0" hidden="1"/>
    </xf>
    <xf numFmtId="2" fontId="5" fillId="0" borderId="28" xfId="0" applyNumberFormat="1" applyFont="1" applyBorder="1" applyAlignment="1" applyProtection="1">
      <alignment horizontal="center" vertical="center"/>
      <protection locked="0" hidden="1"/>
    </xf>
    <xf numFmtId="2" fontId="13" fillId="7" borderId="58" xfId="0" applyNumberFormat="1" applyFont="1" applyFill="1" applyBorder="1" applyAlignment="1" applyProtection="1">
      <alignment horizontal="center" vertical="center"/>
      <protection locked="0" hidden="1"/>
    </xf>
    <xf numFmtId="2" fontId="13" fillId="7" borderId="57" xfId="0" applyNumberFormat="1" applyFont="1" applyFill="1" applyBorder="1" applyAlignment="1" applyProtection="1">
      <alignment horizontal="center" vertical="center"/>
      <protection locked="0" hidden="1"/>
    </xf>
    <xf numFmtId="2" fontId="13" fillId="7" borderId="28" xfId="0" applyNumberFormat="1" applyFont="1" applyFill="1" applyBorder="1" applyAlignment="1" applyProtection="1">
      <alignment horizontal="center" vertical="center"/>
      <protection locked="0" hidden="1"/>
    </xf>
    <xf numFmtId="1" fontId="5" fillId="4" borderId="6" xfId="0" applyNumberFormat="1" applyFont="1" applyFill="1" applyBorder="1" applyAlignment="1" applyProtection="1">
      <alignment horizontal="center" vertical="center"/>
      <protection hidden="1"/>
    </xf>
    <xf numFmtId="4" fontId="5" fillId="4" borderId="3" xfId="0" applyNumberFormat="1" applyFont="1" applyFill="1" applyBorder="1" applyAlignment="1" applyProtection="1">
      <alignment horizontal="center" vertical="center"/>
      <protection hidden="1"/>
    </xf>
    <xf numFmtId="4" fontId="5" fillId="4" borderId="19" xfId="0" applyNumberFormat="1" applyFont="1" applyFill="1" applyBorder="1" applyAlignment="1" applyProtection="1">
      <alignment horizontal="center" vertical="center"/>
      <protection hidden="1"/>
    </xf>
    <xf numFmtId="165" fontId="18" fillId="4" borderId="19" xfId="0" applyNumberFormat="1" applyFont="1" applyFill="1" applyBorder="1" applyAlignment="1" applyProtection="1">
      <alignment horizontal="center" vertical="center"/>
      <protection hidden="1"/>
    </xf>
    <xf numFmtId="0" fontId="33" fillId="8" borderId="3" xfId="0" applyFont="1" applyFill="1" applyBorder="1" applyProtection="1">
      <protection locked="0"/>
    </xf>
    <xf numFmtId="4" fontId="5" fillId="4" borderId="3" xfId="0" applyNumberFormat="1" applyFont="1" applyFill="1" applyBorder="1" applyAlignment="1" applyProtection="1">
      <alignment horizontal="center"/>
      <protection hidden="1"/>
    </xf>
    <xf numFmtId="4" fontId="5" fillId="4" borderId="19" xfId="0" applyNumberFormat="1" applyFont="1" applyFill="1" applyBorder="1" applyAlignment="1" applyProtection="1">
      <alignment horizontal="center"/>
      <protection hidden="1"/>
    </xf>
    <xf numFmtId="1" fontId="5" fillId="4" borderId="6" xfId="0" applyNumberFormat="1" applyFont="1" applyFill="1" applyBorder="1" applyAlignment="1" applyProtection="1">
      <alignment horizontal="center"/>
      <protection hidden="1"/>
    </xf>
    <xf numFmtId="0" fontId="20" fillId="4" borderId="85" xfId="0" applyFont="1" applyFill="1" applyBorder="1" applyAlignment="1">
      <alignment vertical="center"/>
    </xf>
    <xf numFmtId="9" fontId="18" fillId="4" borderId="0" xfId="0" applyNumberFormat="1" applyFont="1" applyFill="1" applyBorder="1" applyAlignment="1"/>
    <xf numFmtId="9" fontId="18" fillId="4" borderId="5" xfId="0" applyNumberFormat="1" applyFont="1" applyFill="1" applyBorder="1" applyAlignment="1">
      <alignment vertical="top"/>
    </xf>
    <xf numFmtId="9" fontId="13" fillId="4" borderId="0" xfId="1" applyFont="1" applyFill="1" applyBorder="1" applyAlignment="1" applyProtection="1">
      <protection hidden="1"/>
    </xf>
    <xf numFmtId="0" fontId="4" fillId="9" borderId="0" xfId="3" applyFont="1" applyFill="1" applyBorder="1" applyAlignment="1" applyProtection="1">
      <alignment horizontal="left" vertical="center" wrapText="1"/>
      <protection hidden="1"/>
    </xf>
    <xf numFmtId="0" fontId="4" fillId="6" borderId="0" xfId="3" applyFont="1" applyFill="1" applyBorder="1" applyAlignment="1" applyProtection="1">
      <alignment horizontal="left" vertical="center" wrapText="1"/>
      <protection hidden="1"/>
    </xf>
    <xf numFmtId="0" fontId="2" fillId="9" borderId="15"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12" fillId="4" borderId="0" xfId="0" applyFont="1" applyFill="1" applyBorder="1" applyAlignment="1">
      <alignment horizontal="center" vertical="center"/>
    </xf>
    <xf numFmtId="0" fontId="8" fillId="4" borderId="15" xfId="0" applyFont="1" applyFill="1" applyBorder="1" applyAlignment="1" applyProtection="1">
      <alignment horizontal="center" vertical="center"/>
      <protection hidden="1"/>
    </xf>
    <xf numFmtId="0" fontId="8" fillId="4" borderId="17" xfId="0" applyFont="1" applyFill="1" applyBorder="1" applyAlignment="1" applyProtection="1">
      <alignment horizontal="center" vertical="center"/>
      <protection hidden="1"/>
    </xf>
    <xf numFmtId="0" fontId="3" fillId="4" borderId="15" xfId="0" applyFont="1" applyFill="1" applyBorder="1" applyAlignment="1">
      <alignment horizontal="center" vertical="center"/>
    </xf>
    <xf numFmtId="0" fontId="3" fillId="4" borderId="17" xfId="0" applyFont="1" applyFill="1" applyBorder="1" applyAlignment="1">
      <alignment horizontal="center" vertical="center"/>
    </xf>
    <xf numFmtId="0" fontId="2" fillId="9" borderId="16" xfId="0" applyFont="1" applyFill="1" applyBorder="1" applyAlignment="1">
      <alignment horizontal="center" vertical="center"/>
    </xf>
    <xf numFmtId="0" fontId="2" fillId="9" borderId="17" xfId="0" applyFont="1" applyFill="1" applyBorder="1" applyAlignment="1">
      <alignment horizontal="center" vertical="center"/>
    </xf>
    <xf numFmtId="0" fontId="2" fillId="7" borderId="61" xfId="0" applyFont="1" applyFill="1" applyBorder="1" applyAlignment="1" applyProtection="1">
      <alignment horizontal="center" vertical="center"/>
      <protection hidden="1"/>
    </xf>
    <xf numFmtId="0" fontId="2" fillId="7" borderId="83" xfId="0" applyFont="1" applyFill="1" applyBorder="1" applyAlignment="1" applyProtection="1">
      <alignment horizontal="center" vertical="center"/>
      <protection hidden="1"/>
    </xf>
    <xf numFmtId="0" fontId="2" fillId="7" borderId="56" xfId="0" applyFont="1" applyFill="1" applyBorder="1" applyAlignment="1" applyProtection="1">
      <alignment horizontal="center" vertical="center"/>
      <protection hidden="1"/>
    </xf>
    <xf numFmtId="0" fontId="14" fillId="9" borderId="15" xfId="0" applyFont="1" applyFill="1" applyBorder="1" applyAlignment="1">
      <alignment horizontal="center" vertical="top"/>
    </xf>
    <xf numFmtId="0" fontId="14" fillId="9" borderId="16" xfId="0" applyFont="1" applyFill="1" applyBorder="1" applyAlignment="1">
      <alignment horizontal="center" vertical="top"/>
    </xf>
    <xf numFmtId="0" fontId="14" fillId="9" borderId="17" xfId="0" applyFont="1" applyFill="1" applyBorder="1" applyAlignment="1">
      <alignment horizontal="center" vertical="top"/>
    </xf>
    <xf numFmtId="0" fontId="18" fillId="4" borderId="78"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0" xfId="0" applyFont="1" applyFill="1" applyBorder="1" applyAlignment="1">
      <alignment horizontal="center" vertical="center" wrapText="1"/>
    </xf>
    <xf numFmtId="9" fontId="18" fillId="4" borderId="4" xfId="1" applyFont="1" applyFill="1" applyBorder="1" applyAlignment="1" applyProtection="1">
      <alignment horizontal="center"/>
      <protection hidden="1"/>
    </xf>
    <xf numFmtId="9" fontId="18" fillId="4" borderId="6" xfId="1" applyFont="1" applyFill="1" applyBorder="1" applyAlignment="1" applyProtection="1">
      <alignment horizontal="center"/>
      <protection hidden="1"/>
    </xf>
    <xf numFmtId="0" fontId="3" fillId="4" borderId="15" xfId="0" applyFont="1" applyFill="1" applyBorder="1" applyAlignment="1">
      <alignment horizontal="center"/>
    </xf>
    <xf numFmtId="0" fontId="3" fillId="4" borderId="16" xfId="0" applyFont="1" applyFill="1" applyBorder="1" applyAlignment="1">
      <alignment horizontal="center"/>
    </xf>
    <xf numFmtId="0" fontId="3" fillId="4" borderId="17" xfId="0" applyFont="1" applyFill="1" applyBorder="1" applyAlignment="1">
      <alignment horizontal="center"/>
    </xf>
    <xf numFmtId="0" fontId="8" fillId="4" borderId="15" xfId="0" applyFont="1" applyFill="1" applyBorder="1" applyAlignment="1" applyProtection="1">
      <alignment horizontal="center"/>
      <protection hidden="1"/>
    </xf>
    <xf numFmtId="0" fontId="8" fillId="4" borderId="17" xfId="0" applyFont="1" applyFill="1" applyBorder="1" applyAlignment="1" applyProtection="1">
      <alignment horizontal="center"/>
      <protection hidden="1"/>
    </xf>
  </cellXfs>
  <cellStyles count="7">
    <cellStyle name="CARIMA I" xfId="5"/>
    <cellStyle name="Komma" xfId="6" builtinId="3"/>
    <cellStyle name="Prozent" xfId="1" builtinId="5"/>
    <cellStyle name="Standard" xfId="0" builtinId="0"/>
    <cellStyle name="Standard 12" xfId="3"/>
    <cellStyle name="Standard_Impressum" xfId="4"/>
    <cellStyle name="Standard_Impressum_1" xfId="2"/>
  </cellStyles>
  <dxfs count="0"/>
  <tableStyles count="0" defaultTableStyle="TableStyleMedium2" defaultPivotStyle="PivotStyleLight16"/>
  <colors>
    <mruColors>
      <color rgb="FFEBF0F2"/>
      <color rgb="FF8B4513"/>
      <color rgb="FF8CA83E"/>
      <color rgb="FFC1BB6B"/>
      <color rgb="FF009999"/>
      <color rgb="FF5E838C"/>
      <color rgb="FF6A92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81405976529028E-2"/>
          <c:y val="8.6406652204902054E-2"/>
          <c:w val="0.81967730446895892"/>
          <c:h val="0.68905799399643686"/>
        </c:manualLayout>
      </c:layout>
      <c:barChart>
        <c:barDir val="col"/>
        <c:grouping val="clustered"/>
        <c:varyColors val="0"/>
        <c:ser>
          <c:idx val="0"/>
          <c:order val="0"/>
          <c:tx>
            <c:strRef>
              <c:f>AC!$Q$1</c:f>
              <c:strCache>
                <c:ptCount val="1"/>
                <c:pt idx="0">
                  <c:v>Tata Motors</c:v>
                </c:pt>
              </c:strCache>
            </c:strRef>
          </c:tx>
          <c:spPr>
            <a:solidFill>
              <a:srgbClr val="5E838C"/>
            </a:solidFill>
            <a:ln>
              <a:noFill/>
            </a:ln>
            <a:effectLst/>
          </c:spPr>
          <c:invertIfNegative val="0"/>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AC!$Q$2:$Q$109</c:f>
              <c:numCache>
                <c:formatCode>0.00%</c:formatCode>
                <c:ptCount val="108"/>
                <c:pt idx="0">
                  <c:v>-0.11586199700832367</c:v>
                </c:pt>
                <c:pt idx="1">
                  <c:v>2.5710742920637131E-2</c:v>
                </c:pt>
                <c:pt idx="2">
                  <c:v>9.3996740877628326E-2</c:v>
                </c:pt>
                <c:pt idx="3">
                  <c:v>0.16543342173099518</c:v>
                </c:pt>
                <c:pt idx="4">
                  <c:v>-0.17228613793849945</c:v>
                </c:pt>
                <c:pt idx="5">
                  <c:v>2.9249850660562515E-2</c:v>
                </c:pt>
                <c:pt idx="6">
                  <c:v>8.7992705404758453E-2</c:v>
                </c:pt>
                <c:pt idx="7">
                  <c:v>0.19600969552993774</c:v>
                </c:pt>
                <c:pt idx="8">
                  <c:v>0.13766619563102722</c:v>
                </c:pt>
                <c:pt idx="9">
                  <c:v>6.7476235330104828E-2</c:v>
                </c:pt>
                <c:pt idx="10">
                  <c:v>3.1526386737823486E-2</c:v>
                </c:pt>
                <c:pt idx="11">
                  <c:v>8.7056107819080353E-2</c:v>
                </c:pt>
                <c:pt idx="12">
                  <c:v>-0.14620505273342133</c:v>
                </c:pt>
                <c:pt idx="13">
                  <c:v>-4.270663857460022E-2</c:v>
                </c:pt>
                <c:pt idx="14">
                  <c:v>0.17016640305519104</c:v>
                </c:pt>
                <c:pt idx="15">
                  <c:v>-6.9666438503190875E-4</c:v>
                </c:pt>
                <c:pt idx="16">
                  <c:v>-0.13076105713844299</c:v>
                </c:pt>
                <c:pt idx="17">
                  <c:v>-8.5349157452583313E-2</c:v>
                </c:pt>
                <c:pt idx="18">
                  <c:v>-1.5700085088610649E-2</c:v>
                </c:pt>
                <c:pt idx="19">
                  <c:v>-0.24878916144371033</c:v>
                </c:pt>
                <c:pt idx="20">
                  <c:v>-1.1654149740934372E-2</c:v>
                </c:pt>
                <c:pt idx="21">
                  <c:v>0.27902090549468994</c:v>
                </c:pt>
                <c:pt idx="22">
                  <c:v>-0.18779569864273071</c:v>
                </c:pt>
                <c:pt idx="23">
                  <c:v>1.6616249457001686E-2</c:v>
                </c:pt>
                <c:pt idx="24">
                  <c:v>0.46498546004295349</c:v>
                </c:pt>
                <c:pt idx="25">
                  <c:v>0.12145635485649109</c:v>
                </c:pt>
                <c:pt idx="26">
                  <c:v>-2.2715561091899872E-2</c:v>
                </c:pt>
                <c:pt idx="27">
                  <c:v>0.11174681037664413</c:v>
                </c:pt>
                <c:pt idx="28">
                  <c:v>-0.30935710668563843</c:v>
                </c:pt>
                <c:pt idx="29">
                  <c:v>4.6568471938371658E-2</c:v>
                </c:pt>
                <c:pt idx="30">
                  <c:v>-4.621577262878418E-2</c:v>
                </c:pt>
                <c:pt idx="31">
                  <c:v>3.5294055938720703E-2</c:v>
                </c:pt>
                <c:pt idx="32">
                  <c:v>0.2041642963886261</c:v>
                </c:pt>
                <c:pt idx="33">
                  <c:v>-6.6526353359222412E-2</c:v>
                </c:pt>
                <c:pt idx="34">
                  <c:v>6.1464730650186539E-2</c:v>
                </c:pt>
                <c:pt idx="35">
                  <c:v>0.13501012325286865</c:v>
                </c:pt>
                <c:pt idx="36">
                  <c:v>-1.8185602501034737E-2</c:v>
                </c:pt>
                <c:pt idx="37">
                  <c:v>-5.6616306304931641E-2</c:v>
                </c:pt>
                <c:pt idx="38">
                  <c:v>-6.3041985034942627E-2</c:v>
                </c:pt>
                <c:pt idx="39">
                  <c:v>0.1244472861289978</c:v>
                </c:pt>
                <c:pt idx="40">
                  <c:v>-3.922466654330492E-3</c:v>
                </c:pt>
                <c:pt idx="41">
                  <c:v>-0.14655916392803192</c:v>
                </c:pt>
                <c:pt idx="42">
                  <c:v>1.6352223232388496E-2</c:v>
                </c:pt>
                <c:pt idx="43">
                  <c:v>-5.1967434585094452E-2</c:v>
                </c:pt>
                <c:pt idx="44">
                  <c:v>0.17260713875293732</c:v>
                </c:pt>
                <c:pt idx="45">
                  <c:v>0.16776686906814575</c:v>
                </c:pt>
                <c:pt idx="46">
                  <c:v>2.872026339173317E-2</c:v>
                </c:pt>
                <c:pt idx="47">
                  <c:v>-4.6240661293268204E-2</c:v>
                </c:pt>
                <c:pt idx="48">
                  <c:v>-8.319120854139328E-2</c:v>
                </c:pt>
                <c:pt idx="49">
                  <c:v>0.20581063628196716</c:v>
                </c:pt>
                <c:pt idx="50">
                  <c:v>-7.7501009218394756E-3</c:v>
                </c:pt>
                <c:pt idx="51">
                  <c:v>3.0166223645210266E-2</c:v>
                </c:pt>
                <c:pt idx="52">
                  <c:v>2.1469922736287117E-2</c:v>
                </c:pt>
                <c:pt idx="53">
                  <c:v>2.0923832431435585E-2</c:v>
                </c:pt>
                <c:pt idx="54">
                  <c:v>3.3863451331853867E-2</c:v>
                </c:pt>
                <c:pt idx="55">
                  <c:v>0.1722152978181839</c:v>
                </c:pt>
                <c:pt idx="56">
                  <c:v>-6.0338854789733887E-2</c:v>
                </c:pt>
                <c:pt idx="57">
                  <c:v>7.3368139564990997E-2</c:v>
                </c:pt>
                <c:pt idx="58">
                  <c:v>-1.4894863590598106E-2</c:v>
                </c:pt>
                <c:pt idx="59">
                  <c:v>-8.6842276155948639E-2</c:v>
                </c:pt>
                <c:pt idx="60">
                  <c:v>0.20344924926757813</c:v>
                </c:pt>
                <c:pt idx="61">
                  <c:v>-1.5022198669612408E-2</c:v>
                </c:pt>
                <c:pt idx="62">
                  <c:v>-5.5246051400899887E-2</c:v>
                </c:pt>
                <c:pt idx="63">
                  <c:v>-8.0062888562679291E-2</c:v>
                </c:pt>
                <c:pt idx="64">
                  <c:v>-5.7548318058252335E-2</c:v>
                </c:pt>
                <c:pt idx="65">
                  <c:v>-9.5982633531093597E-2</c:v>
                </c:pt>
                <c:pt idx="66">
                  <c:v>-0.12190146744251251</c:v>
                </c:pt>
                <c:pt idx="67">
                  <c:v>-0.14526346325874329</c:v>
                </c:pt>
                <c:pt idx="68">
                  <c:v>-0.11098580807447433</c:v>
                </c:pt>
                <c:pt idx="69">
                  <c:v>0.29500323534011841</c:v>
                </c:pt>
                <c:pt idx="70">
                  <c:v>7.8521750867366791E-2</c:v>
                </c:pt>
                <c:pt idx="71">
                  <c:v>-6.9167174398899078E-2</c:v>
                </c:pt>
                <c:pt idx="72">
                  <c:v>-0.1609572172164917</c:v>
                </c:pt>
                <c:pt idx="73">
                  <c:v>-0.1177358403801918</c:v>
                </c:pt>
                <c:pt idx="74">
                  <c:v>0.33265897631645203</c:v>
                </c:pt>
                <c:pt idx="75">
                  <c:v>5.4447613656520844E-2</c:v>
                </c:pt>
                <c:pt idx="76">
                  <c:v>0.1095508337020874</c:v>
                </c:pt>
                <c:pt idx="77">
                  <c:v>-4.1786348447203636E-3</c:v>
                </c:pt>
                <c:pt idx="78">
                  <c:v>0.10429000854492188</c:v>
                </c:pt>
                <c:pt idx="79">
                  <c:v>6.8600334227085114E-2</c:v>
                </c:pt>
                <c:pt idx="80">
                  <c:v>3.2625271705910563E-4</c:v>
                </c:pt>
                <c:pt idx="81">
                  <c:v>7.154389750212431E-4</c:v>
                </c:pt>
                <c:pt idx="82">
                  <c:v>-0.16556602716445923</c:v>
                </c:pt>
                <c:pt idx="83">
                  <c:v>3.6117672920227051E-2</c:v>
                </c:pt>
                <c:pt idx="84">
                  <c:v>0.10964467005076139</c:v>
                </c:pt>
                <c:pt idx="85">
                  <c:v>-0.11292641484773236</c:v>
                </c:pt>
                <c:pt idx="86">
                  <c:v>4.7885663768970188E-2</c:v>
                </c:pt>
                <c:pt idx="87">
                  <c:v>-5.6242969628796935E-3</c:v>
                </c:pt>
                <c:pt idx="88">
                  <c:v>3.4502262443438791E-2</c:v>
                </c:pt>
                <c:pt idx="89">
                  <c:v>-9.322033898305071E-2</c:v>
                </c:pt>
                <c:pt idx="90">
                  <c:v>3.5725052758516673E-2</c:v>
                </c:pt>
                <c:pt idx="91">
                  <c:v>-0.15005093872798714</c:v>
                </c:pt>
                <c:pt idx="92">
                  <c:v>4.3493150684931425E-2</c:v>
                </c:pt>
                <c:pt idx="93">
                  <c:v>7.5976370200196763E-2</c:v>
                </c:pt>
                <c:pt idx="94">
                  <c:v>-5.2310507854201549E-2</c:v>
                </c:pt>
                <c:pt idx="95">
                  <c:v>7.9497907949790836E-2</c:v>
                </c:pt>
                <c:pt idx="96">
                  <c:v>-7.1705426356589053E-2</c:v>
                </c:pt>
                <c:pt idx="97">
                  <c:v>-9.6033402922755751E-2</c:v>
                </c:pt>
                <c:pt idx="98">
                  <c:v>-0.11742760703499733</c:v>
                </c:pt>
                <c:pt idx="99">
                  <c:v>1.791465378421897E-2</c:v>
                </c:pt>
                <c:pt idx="100">
                  <c:v>-0.17935534902115879</c:v>
                </c:pt>
                <c:pt idx="101">
                  <c:v>-6.0963855421686808E-2</c:v>
                </c:pt>
                <c:pt idx="102">
                  <c:v>-2.0272004105722274E-2</c:v>
                </c:pt>
                <c:pt idx="103">
                  <c:v>-2.0691461498166586E-2</c:v>
                </c:pt>
                <c:pt idx="104">
                  <c:v>-0.18186680930730148</c:v>
                </c:pt>
                <c:pt idx="105">
                  <c:v>-0.21510297482837526</c:v>
                </c:pt>
                <c:pt idx="106">
                  <c:v>1.8742190753852528E-2</c:v>
                </c:pt>
                <c:pt idx="107">
                  <c:v>2.4529844644316512E-3</c:v>
                </c:pt>
              </c:numCache>
            </c:numRef>
          </c:val>
          <c:extLst>
            <c:ext xmlns:c16="http://schemas.microsoft.com/office/drawing/2014/chart" uri="{C3380CC4-5D6E-409C-BE32-E72D297353CC}">
              <c16:uniqueId val="{0000000A-34A9-4C5F-9B4A-D2ED25D561CA}"/>
            </c:ext>
          </c:extLst>
        </c:ser>
        <c:ser>
          <c:idx val="1"/>
          <c:order val="1"/>
          <c:tx>
            <c:strRef>
              <c:f>AC!$R$1</c:f>
              <c:strCache>
                <c:ptCount val="1"/>
                <c:pt idx="0">
                  <c:v>Toyota</c:v>
                </c:pt>
              </c:strCache>
            </c:strRef>
          </c:tx>
          <c:spPr>
            <a:solidFill>
              <a:schemeClr val="accent1"/>
            </a:solidFill>
            <a:ln>
              <a:noFill/>
            </a:ln>
            <a:effectLst/>
          </c:spPr>
          <c:invertIfNegative val="0"/>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AC!$R$2:$R$109</c:f>
              <c:numCache>
                <c:formatCode>0.00%</c:formatCode>
                <c:ptCount val="108"/>
                <c:pt idx="0">
                  <c:v>-7.6307445764541626E-2</c:v>
                </c:pt>
                <c:pt idx="1">
                  <c:v>-2.6624774560332298E-2</c:v>
                </c:pt>
                <c:pt idx="2">
                  <c:v>7.6609976589679718E-2</c:v>
                </c:pt>
                <c:pt idx="3">
                  <c:v>-2.7397241443395615E-2</c:v>
                </c:pt>
                <c:pt idx="4">
                  <c:v>-7.590186595916748E-2</c:v>
                </c:pt>
                <c:pt idx="5">
                  <c:v>-3.4066189080476761E-2</c:v>
                </c:pt>
                <c:pt idx="6">
                  <c:v>1.1065579950809479E-2</c:v>
                </c:pt>
                <c:pt idx="7">
                  <c:v>-3.2355796545743942E-2</c:v>
                </c:pt>
                <c:pt idx="8">
                  <c:v>6.0406599193811417E-2</c:v>
                </c:pt>
                <c:pt idx="9">
                  <c:v>-1.1065081693232059E-2</c:v>
                </c:pt>
                <c:pt idx="10">
                  <c:v>8.2872152328491211E-2</c:v>
                </c:pt>
                <c:pt idx="11">
                  <c:v>3.2756820321083069E-2</c:v>
                </c:pt>
                <c:pt idx="12">
                  <c:v>4.5172430574893951E-2</c:v>
                </c:pt>
                <c:pt idx="13">
                  <c:v>0.12342927604913712</c:v>
                </c:pt>
                <c:pt idx="14">
                  <c:v>-0.12519815564155579</c:v>
                </c:pt>
                <c:pt idx="15">
                  <c:v>-1.5144772827625275E-2</c:v>
                </c:pt>
                <c:pt idx="16">
                  <c:v>5.1332909613847733E-2</c:v>
                </c:pt>
                <c:pt idx="17">
                  <c:v>-2.3644760251045227E-2</c:v>
                </c:pt>
                <c:pt idx="18">
                  <c:v>2.8350591310299933E-4</c:v>
                </c:pt>
                <c:pt idx="19">
                  <c:v>-0.12538155913352966</c:v>
                </c:pt>
                <c:pt idx="20">
                  <c:v>-1.7317973077297211E-2</c:v>
                </c:pt>
                <c:pt idx="21">
                  <c:v>-2.7662565931677818E-2</c:v>
                </c:pt>
                <c:pt idx="22">
                  <c:v>-4.6841815114021301E-2</c:v>
                </c:pt>
                <c:pt idx="23">
                  <c:v>3.1486108899116516E-2</c:v>
                </c:pt>
                <c:pt idx="24">
                  <c:v>0.10543514043092728</c:v>
                </c:pt>
                <c:pt idx="25">
                  <c:v>0.12476598471403122</c:v>
                </c:pt>
                <c:pt idx="26">
                  <c:v>5.5196631699800491E-2</c:v>
                </c:pt>
                <c:pt idx="27">
                  <c:v>-4.5819956809282303E-2</c:v>
                </c:pt>
                <c:pt idx="28">
                  <c:v>-6.3505865633487701E-2</c:v>
                </c:pt>
                <c:pt idx="29">
                  <c:v>3.1259678304195404E-2</c:v>
                </c:pt>
                <c:pt idx="30">
                  <c:v>-3.2811865210533142E-2</c:v>
                </c:pt>
                <c:pt idx="31">
                  <c:v>2.2120842710137367E-2</c:v>
                </c:pt>
                <c:pt idx="32">
                  <c:v>-1.990574412047863E-3</c:v>
                </c:pt>
                <c:pt idx="33">
                  <c:v>-1.8744880333542824E-2</c:v>
                </c:pt>
                <c:pt idx="34">
                  <c:v>0.1177239790558815</c:v>
                </c:pt>
                <c:pt idx="35">
                  <c:v>8.0506905913352966E-2</c:v>
                </c:pt>
                <c:pt idx="36">
                  <c:v>3.2625295221805573E-2</c:v>
                </c:pt>
                <c:pt idx="37">
                  <c:v>7.980038970708847E-2</c:v>
                </c:pt>
                <c:pt idx="38">
                  <c:v>1.3098903931677341E-2</c:v>
                </c:pt>
                <c:pt idx="39">
                  <c:v>0.12010952830314636</c:v>
                </c:pt>
                <c:pt idx="40">
                  <c:v>2.7980362996459007E-2</c:v>
                </c:pt>
                <c:pt idx="41">
                  <c:v>1.3128357939422131E-2</c:v>
                </c:pt>
                <c:pt idx="42">
                  <c:v>6.5935566090047359E-3</c:v>
                </c:pt>
                <c:pt idx="43">
                  <c:v>-2.5930549018085003E-3</c:v>
                </c:pt>
                <c:pt idx="44">
                  <c:v>6.5984383225440979E-2</c:v>
                </c:pt>
                <c:pt idx="45">
                  <c:v>1.4510360546410084E-2</c:v>
                </c:pt>
                <c:pt idx="46">
                  <c:v>-3.8553483784198761E-2</c:v>
                </c:pt>
                <c:pt idx="47">
                  <c:v>-1.9961094483733177E-2</c:v>
                </c:pt>
                <c:pt idx="48">
                  <c:v>-4.935074970126152E-2</c:v>
                </c:pt>
                <c:pt idx="49">
                  <c:v>-1.4790707267820835E-2</c:v>
                </c:pt>
                <c:pt idx="50">
                  <c:v>6.113861221820116E-3</c:v>
                </c:pt>
                <c:pt idx="51">
                  <c:v>-4.5466713607311249E-2</c:v>
                </c:pt>
                <c:pt idx="52">
                  <c:v>4.8574361950159073E-2</c:v>
                </c:pt>
                <c:pt idx="53">
                  <c:v>6.0651939362287521E-2</c:v>
                </c:pt>
                <c:pt idx="54">
                  <c:v>-6.2950537540018559E-3</c:v>
                </c:pt>
                <c:pt idx="55">
                  <c:v>-4.3822601437568665E-2</c:v>
                </c:pt>
                <c:pt idx="56">
                  <c:v>4.4508989900350571E-2</c:v>
                </c:pt>
                <c:pt idx="57">
                  <c:v>-1.6200173646211624E-2</c:v>
                </c:pt>
                <c:pt idx="58">
                  <c:v>6.3172824680805206E-2</c:v>
                </c:pt>
                <c:pt idx="59">
                  <c:v>2.2932499647140503E-2</c:v>
                </c:pt>
                <c:pt idx="60">
                  <c:v>3.2437883317470551E-2</c:v>
                </c:pt>
                <c:pt idx="61">
                  <c:v>3.6323152482509613E-2</c:v>
                </c:pt>
                <c:pt idx="62">
                  <c:v>5.1668319851160049E-2</c:v>
                </c:pt>
                <c:pt idx="63">
                  <c:v>-8.5619848687201738E-4</c:v>
                </c:pt>
                <c:pt idx="64">
                  <c:v>-7.2779450565576553E-3</c:v>
                </c:pt>
                <c:pt idx="65">
                  <c:v>-3.3123351633548737E-2</c:v>
                </c:pt>
                <c:pt idx="66">
                  <c:v>-6.3325567170977592E-3</c:v>
                </c:pt>
                <c:pt idx="67">
                  <c:v>-0.10907085239887238</c:v>
                </c:pt>
                <c:pt idx="68">
                  <c:v>-5.3237895481288433E-3</c:v>
                </c:pt>
                <c:pt idx="69">
                  <c:v>6.3359722495079041E-2</c:v>
                </c:pt>
                <c:pt idx="70">
                  <c:v>3.5078383516520262E-3</c:v>
                </c:pt>
                <c:pt idx="71">
                  <c:v>2.0963356364518404E-3</c:v>
                </c:pt>
                <c:pt idx="72">
                  <c:v>-4.467565193772316E-2</c:v>
                </c:pt>
                <c:pt idx="73">
                  <c:v>-0.12174665927886963</c:v>
                </c:pt>
                <c:pt idx="74">
                  <c:v>3.1554039567708969E-2</c:v>
                </c:pt>
                <c:pt idx="75">
                  <c:v>-2.2234125062823296E-3</c:v>
                </c:pt>
                <c:pt idx="76">
                  <c:v>-1.3342160731554031E-2</c:v>
                </c:pt>
                <c:pt idx="77">
                  <c:v>-5.5798076093196869E-2</c:v>
                </c:pt>
                <c:pt idx="78">
                  <c:v>0.16765767335891724</c:v>
                </c:pt>
                <c:pt idx="79">
                  <c:v>4.8446569591760635E-2</c:v>
                </c:pt>
                <c:pt idx="80">
                  <c:v>-3.7817146629095078E-2</c:v>
                </c:pt>
                <c:pt idx="81">
                  <c:v>1.3473426923155785E-2</c:v>
                </c:pt>
                <c:pt idx="82">
                  <c:v>8.6176525801420212E-3</c:v>
                </c:pt>
                <c:pt idx="83">
                  <c:v>1.0287058539688587E-2</c:v>
                </c:pt>
                <c:pt idx="84">
                  <c:v>-8.1790787774430607E-3</c:v>
                </c:pt>
                <c:pt idx="85">
                  <c:v>-2.734375E-2</c:v>
                </c:pt>
                <c:pt idx="86">
                  <c:v>-2.9674252565818793E-2</c:v>
                </c:pt>
                <c:pt idx="87">
                  <c:v>-1.6095654173373664E-3</c:v>
                </c:pt>
                <c:pt idx="88">
                  <c:v>-9.2123445416858463E-3</c:v>
                </c:pt>
                <c:pt idx="89">
                  <c:v>-2.2315202231520281E-2</c:v>
                </c:pt>
                <c:pt idx="90">
                  <c:v>7.5844032334759781E-2</c:v>
                </c:pt>
                <c:pt idx="91">
                  <c:v>-4.198895027624272E-3</c:v>
                </c:pt>
                <c:pt idx="92">
                  <c:v>7.6786506879715999E-2</c:v>
                </c:pt>
                <c:pt idx="93">
                  <c:v>3.1945589447650358E-2</c:v>
                </c:pt>
                <c:pt idx="94">
                  <c:v>2.3167565408428237E-2</c:v>
                </c:pt>
                <c:pt idx="95">
                  <c:v>1.7177435096623173E-2</c:v>
                </c:pt>
                <c:pt idx="96">
                  <c:v>7.0236039147956397E-2</c:v>
                </c:pt>
                <c:pt idx="97">
                  <c:v>-1.0399856553702791E-2</c:v>
                </c:pt>
                <c:pt idx="98">
                  <c:v>-3.6963217974270712E-2</c:v>
                </c:pt>
                <c:pt idx="99">
                  <c:v>2.2577610536218318E-2</c:v>
                </c:pt>
                <c:pt idx="100">
                  <c:v>-2.9438822447102164E-2</c:v>
                </c:pt>
                <c:pt idx="101">
                  <c:v>1.6303317535544926E-2</c:v>
                </c:pt>
                <c:pt idx="102">
                  <c:v>8.0208916246968798E-3</c:v>
                </c:pt>
                <c:pt idx="103">
                  <c:v>-4.2190969652109556E-2</c:v>
                </c:pt>
                <c:pt idx="104">
                  <c:v>1.3523956723338504E-2</c:v>
                </c:pt>
                <c:pt idx="105">
                  <c:v>-6.1570720548989821E-2</c:v>
                </c:pt>
                <c:pt idx="106">
                  <c:v>2.2140970952671202E-2</c:v>
                </c:pt>
                <c:pt idx="107">
                  <c:v>-2.5437201907790197E-2</c:v>
                </c:pt>
              </c:numCache>
            </c:numRef>
          </c:val>
          <c:extLst>
            <c:ext xmlns:c16="http://schemas.microsoft.com/office/drawing/2014/chart" uri="{C3380CC4-5D6E-409C-BE32-E72D297353CC}">
              <c16:uniqueId val="{0000000B-34A9-4C5F-9B4A-D2ED25D561CA}"/>
            </c:ext>
          </c:extLst>
        </c:ser>
        <c:ser>
          <c:idx val="2"/>
          <c:order val="2"/>
          <c:tx>
            <c:strRef>
              <c:f>AC!$S$1</c:f>
              <c:strCache>
                <c:ptCount val="1"/>
                <c:pt idx="0">
                  <c:v>BP</c:v>
                </c:pt>
              </c:strCache>
            </c:strRef>
          </c:tx>
          <c:spPr>
            <a:solidFill>
              <a:srgbClr val="8B4513"/>
            </a:solidFill>
            <a:ln>
              <a:noFill/>
            </a:ln>
            <a:effectLst/>
          </c:spPr>
          <c:invertIfNegative val="0"/>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AC!$S$2:$S$109</c:f>
              <c:numCache>
                <c:formatCode>0.00%</c:formatCode>
                <c:ptCount val="108"/>
                <c:pt idx="0">
                  <c:v>-2.9372639954090118E-2</c:v>
                </c:pt>
                <c:pt idx="1">
                  <c:v>-4.9007833003997803E-2</c:v>
                </c:pt>
                <c:pt idx="2">
                  <c:v>7.325301319360733E-2</c:v>
                </c:pt>
                <c:pt idx="3">
                  <c:v>-6.8571537733078003E-2</c:v>
                </c:pt>
                <c:pt idx="4">
                  <c:v>-0.18396106362342834</c:v>
                </c:pt>
                <c:pt idx="5">
                  <c:v>-0.33645686507225037</c:v>
                </c:pt>
                <c:pt idx="6">
                  <c:v>0.33241823315620422</c:v>
                </c:pt>
                <c:pt idx="7">
                  <c:v>-8.0024555325508118E-2</c:v>
                </c:pt>
                <c:pt idx="8">
                  <c:v>0.1523604542016983</c:v>
                </c:pt>
                <c:pt idx="9">
                  <c:v>9.753701277077198E-3</c:v>
                </c:pt>
                <c:pt idx="10">
                  <c:v>-2.5686582550406456E-2</c:v>
                </c:pt>
                <c:pt idx="11">
                  <c:v>9.8703891038894653E-2</c:v>
                </c:pt>
                <c:pt idx="12">
                  <c:v>6.5360955893993378E-2</c:v>
                </c:pt>
                <c:pt idx="13">
                  <c:v>4.5412324368953705E-2</c:v>
                </c:pt>
                <c:pt idx="14">
                  <c:v>-9.5655865967273712E-2</c:v>
                </c:pt>
                <c:pt idx="15">
                  <c:v>6.0143981128931046E-2</c:v>
                </c:pt>
                <c:pt idx="16">
                  <c:v>8.7378118187189102E-3</c:v>
                </c:pt>
                <c:pt idx="17">
                  <c:v>-4.4812750071287155E-2</c:v>
                </c:pt>
                <c:pt idx="18">
                  <c:v>2.7694474905729294E-2</c:v>
                </c:pt>
                <c:pt idx="19">
                  <c:v>-0.12552544474601746</c:v>
                </c:pt>
                <c:pt idx="20">
                  <c:v>-7.6423346996307373E-2</c:v>
                </c:pt>
                <c:pt idx="21">
                  <c:v>0.22949913144111633</c:v>
                </c:pt>
                <c:pt idx="22">
                  <c:v>-1.6501657664775848E-2</c:v>
                </c:pt>
                <c:pt idx="23">
                  <c:v>-1.2424989603459835E-2</c:v>
                </c:pt>
                <c:pt idx="24">
                  <c:v>3.8239728659391403E-2</c:v>
                </c:pt>
                <c:pt idx="25">
                  <c:v>6.9683186709880829E-2</c:v>
                </c:pt>
                <c:pt idx="26">
                  <c:v>-6.0441341251134872E-2</c:v>
                </c:pt>
                <c:pt idx="27">
                  <c:v>-2.2225718945264816E-2</c:v>
                </c:pt>
                <c:pt idx="28">
                  <c:v>-0.14825321733951569</c:v>
                </c:pt>
                <c:pt idx="29">
                  <c:v>8.8843688368797302E-2</c:v>
                </c:pt>
                <c:pt idx="30">
                  <c:v>6.2893559224903584E-3</c:v>
                </c:pt>
                <c:pt idx="31">
                  <c:v>6.4242057502269745E-2</c:v>
                </c:pt>
                <c:pt idx="32">
                  <c:v>5.3766686469316483E-3</c:v>
                </c:pt>
                <c:pt idx="33">
                  <c:v>1.3122405856847763E-2</c:v>
                </c:pt>
                <c:pt idx="34">
                  <c:v>-1.9075492396950722E-2</c:v>
                </c:pt>
                <c:pt idx="35">
                  <c:v>-1.8244059756398201E-3</c:v>
                </c:pt>
                <c:pt idx="36">
                  <c:v>7.1681596338748932E-2</c:v>
                </c:pt>
                <c:pt idx="37">
                  <c:v>-7.3647074401378632E-2</c:v>
                </c:pt>
                <c:pt idx="38">
                  <c:v>3.2189022749662399E-2</c:v>
                </c:pt>
                <c:pt idx="39">
                  <c:v>3.9482507854700089E-2</c:v>
                </c:pt>
                <c:pt idx="40">
                  <c:v>1.1815414763987064E-3</c:v>
                </c:pt>
                <c:pt idx="41">
                  <c:v>-3.8062058389186859E-2</c:v>
                </c:pt>
                <c:pt idx="42">
                  <c:v>-1.9614554475992918E-3</c:v>
                </c:pt>
                <c:pt idx="43">
                  <c:v>1.4627302065491676E-2</c:v>
                </c:pt>
                <c:pt idx="44">
                  <c:v>1.6130682080984116E-2</c:v>
                </c:pt>
                <c:pt idx="45">
                  <c:v>0.10571345686912537</c:v>
                </c:pt>
                <c:pt idx="46">
                  <c:v>3.0286870896816254E-2</c:v>
                </c:pt>
                <c:pt idx="47">
                  <c:v>2.3804876953363419E-2</c:v>
                </c:pt>
                <c:pt idx="48">
                  <c:v>-2.8173357248306274E-2</c:v>
                </c:pt>
                <c:pt idx="49">
                  <c:v>8.8651753962039948E-2</c:v>
                </c:pt>
                <c:pt idx="50">
                  <c:v>-5.3324155509471893E-2</c:v>
                </c:pt>
                <c:pt idx="51">
                  <c:v>5.3363952785730362E-2</c:v>
                </c:pt>
                <c:pt idx="52">
                  <c:v>1.2511732988059521E-2</c:v>
                </c:pt>
                <c:pt idx="53">
                  <c:v>4.3488860130310059E-2</c:v>
                </c:pt>
                <c:pt idx="54">
                  <c:v>-7.1850575506687164E-2</c:v>
                </c:pt>
                <c:pt idx="55">
                  <c:v>-8.786344900727272E-3</c:v>
                </c:pt>
                <c:pt idx="56">
                  <c:v>-8.0999501049518585E-2</c:v>
                </c:pt>
                <c:pt idx="57">
                  <c:v>-2.2819487378001213E-2</c:v>
                </c:pt>
                <c:pt idx="58">
                  <c:v>-7.0511765778064728E-2</c:v>
                </c:pt>
                <c:pt idx="59">
                  <c:v>-2.6134183630347252E-2</c:v>
                </c:pt>
                <c:pt idx="60">
                  <c:v>-5.2603268995881081E-3</c:v>
                </c:pt>
                <c:pt idx="61">
                  <c:v>0.1024782806634903</c:v>
                </c:pt>
                <c:pt idx="62">
                  <c:v>-6.3746899366378784E-2</c:v>
                </c:pt>
                <c:pt idx="63">
                  <c:v>0.11438260227441788</c:v>
                </c:pt>
                <c:pt idx="64">
                  <c:v>-3.4306231886148453E-2</c:v>
                </c:pt>
                <c:pt idx="65">
                  <c:v>-3.9330486208200455E-2</c:v>
                </c:pt>
                <c:pt idx="66">
                  <c:v>-6.6088274121284485E-2</c:v>
                </c:pt>
                <c:pt idx="67">
                  <c:v>-8.6177043616771698E-2</c:v>
                </c:pt>
                <c:pt idx="68">
                  <c:v>-8.7501026690006256E-2</c:v>
                </c:pt>
                <c:pt idx="69">
                  <c:v>0.17952367663383484</c:v>
                </c:pt>
                <c:pt idx="70">
                  <c:v>-1.1708301492035389E-2</c:v>
                </c:pt>
                <c:pt idx="71">
                  <c:v>-0.10038015991449356</c:v>
                </c:pt>
                <c:pt idx="72">
                  <c:v>2.2392395883798599E-2</c:v>
                </c:pt>
                <c:pt idx="73">
                  <c:v>-6.1399050056934357E-2</c:v>
                </c:pt>
                <c:pt idx="74">
                  <c:v>2.7346890419721603E-2</c:v>
                </c:pt>
                <c:pt idx="75">
                  <c:v>8.7798930704593658E-2</c:v>
                </c:pt>
                <c:pt idx="76">
                  <c:v>-3.2051544636487961E-2</c:v>
                </c:pt>
                <c:pt idx="77">
                  <c:v>0.12622553110122681</c:v>
                </c:pt>
                <c:pt idx="78">
                  <c:v>-3.2612781971693039E-2</c:v>
                </c:pt>
                <c:pt idx="79">
                  <c:v>6.6215735860168934E-3</c:v>
                </c:pt>
                <c:pt idx="80">
                  <c:v>4.2854852974414825E-2</c:v>
                </c:pt>
                <c:pt idx="81">
                  <c:v>1.0056700557470322E-2</c:v>
                </c:pt>
                <c:pt idx="82">
                  <c:v>-1.0879273526370525E-2</c:v>
                </c:pt>
                <c:pt idx="83">
                  <c:v>9.6640869975090027E-2</c:v>
                </c:pt>
                <c:pt idx="84">
                  <c:v>-5.5256596106326272E-2</c:v>
                </c:pt>
                <c:pt idx="85">
                  <c:v>-3.3999413455879979E-2</c:v>
                </c:pt>
                <c:pt idx="86">
                  <c:v>1.3724163588949789E-2</c:v>
                </c:pt>
                <c:pt idx="87">
                  <c:v>5.9659411225965187E-4</c:v>
                </c:pt>
                <c:pt idx="88">
                  <c:v>7.0309344139078078E-2</c:v>
                </c:pt>
                <c:pt idx="89">
                  <c:v>-4.533135263610133E-2</c:v>
                </c:pt>
                <c:pt idx="90">
                  <c:v>2.1811944627744717E-2</c:v>
                </c:pt>
                <c:pt idx="91">
                  <c:v>-7.7802185151403247E-3</c:v>
                </c:pt>
                <c:pt idx="92">
                  <c:v>0.1164078729537088</c:v>
                </c:pt>
                <c:pt idx="93">
                  <c:v>5.8013952429915028E-2</c:v>
                </c:pt>
                <c:pt idx="94">
                  <c:v>-8.6684408094191978E-3</c:v>
                </c:pt>
                <c:pt idx="95">
                  <c:v>6.7987273362174472E-2</c:v>
                </c:pt>
                <c:pt idx="96">
                  <c:v>7.7876797971709877E-3</c:v>
                </c:pt>
                <c:pt idx="97">
                  <c:v>-6.723695649277206E-2</c:v>
                </c:pt>
                <c:pt idx="98">
                  <c:v>2.6893246689100536E-2</c:v>
                </c:pt>
                <c:pt idx="99">
                  <c:v>0.10222149668375291</c:v>
                </c:pt>
                <c:pt idx="100">
                  <c:v>4.8527200966163031E-2</c:v>
                </c:pt>
                <c:pt idx="101">
                  <c:v>-4.3716058274216874E-3</c:v>
                </c:pt>
                <c:pt idx="102">
                  <c:v>-1.5029195985229227E-2</c:v>
                </c:pt>
                <c:pt idx="103">
                  <c:v>-4.0794522022999602E-2</c:v>
                </c:pt>
                <c:pt idx="104">
                  <c:v>8.0302539572333798E-2</c:v>
                </c:pt>
                <c:pt idx="105">
                  <c:v>-5.6747514949071487E-2</c:v>
                </c:pt>
                <c:pt idx="106">
                  <c:v>-7.0819242747742317E-2</c:v>
                </c:pt>
                <c:pt idx="107">
                  <c:v>-4.7969404849249053E-2</c:v>
                </c:pt>
              </c:numCache>
            </c:numRef>
          </c:val>
          <c:extLst>
            <c:ext xmlns:c16="http://schemas.microsoft.com/office/drawing/2014/chart" uri="{C3380CC4-5D6E-409C-BE32-E72D297353CC}">
              <c16:uniqueId val="{0000000C-34A9-4C5F-9B4A-D2ED25D561CA}"/>
            </c:ext>
          </c:extLst>
        </c:ser>
        <c:ser>
          <c:idx val="3"/>
          <c:order val="3"/>
          <c:tx>
            <c:strRef>
              <c:f>AC!$T$1</c:f>
              <c:strCache>
                <c:ptCount val="1"/>
                <c:pt idx="0">
                  <c:v>IBM</c:v>
                </c:pt>
              </c:strCache>
            </c:strRef>
          </c:tx>
          <c:spPr>
            <a:solidFill>
              <a:schemeClr val="accent2"/>
            </a:solidFill>
            <a:ln>
              <a:noFill/>
            </a:ln>
            <a:effectLst/>
          </c:spPr>
          <c:invertIfNegative val="0"/>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AC!$T$2:$T$109</c:f>
              <c:numCache>
                <c:formatCode>0.00%</c:formatCode>
                <c:ptCount val="108"/>
                <c:pt idx="0">
                  <c:v>-6.5011471509933472E-2</c:v>
                </c:pt>
                <c:pt idx="1">
                  <c:v>4.3662291020154953E-2</c:v>
                </c:pt>
                <c:pt idx="2">
                  <c:v>8.4718689322471619E-3</c:v>
                </c:pt>
                <c:pt idx="3">
                  <c:v>5.7479594834148884E-3</c:v>
                </c:pt>
                <c:pt idx="4">
                  <c:v>-2.399899996817112E-2</c:v>
                </c:pt>
                <c:pt idx="5">
                  <c:v>-1.4310446567833424E-2</c:v>
                </c:pt>
                <c:pt idx="6">
                  <c:v>3.9744507521390915E-2</c:v>
                </c:pt>
                <c:pt idx="7">
                  <c:v>-3.6353982985019684E-2</c:v>
                </c:pt>
                <c:pt idx="8">
                  <c:v>8.9317671954631805E-2</c:v>
                </c:pt>
                <c:pt idx="9">
                  <c:v>7.0423334836959839E-2</c:v>
                </c:pt>
                <c:pt idx="10">
                  <c:v>-1.0630568489432335E-2</c:v>
                </c:pt>
                <c:pt idx="11">
                  <c:v>3.7366423755884171E-2</c:v>
                </c:pt>
                <c:pt idx="12">
                  <c:v>0.10374300181865692</c:v>
                </c:pt>
                <c:pt idx="13">
                  <c:v>3.0708408448845148E-3</c:v>
                </c:pt>
                <c:pt idx="14">
                  <c:v>7.2511308826506138E-3</c:v>
                </c:pt>
                <c:pt idx="15">
                  <c:v>4.605383425951004E-2</c:v>
                </c:pt>
                <c:pt idx="16">
                  <c:v>-5.2750660106539726E-3</c:v>
                </c:pt>
                <c:pt idx="17">
                  <c:v>1.5509380027651787E-2</c:v>
                </c:pt>
                <c:pt idx="18">
                  <c:v>6.0040801763534546E-2</c:v>
                </c:pt>
                <c:pt idx="19">
                  <c:v>-5.0494972616434097E-2</c:v>
                </c:pt>
                <c:pt idx="20">
                  <c:v>1.7218306660652161E-2</c:v>
                </c:pt>
                <c:pt idx="21">
                  <c:v>5.5812887847423553E-2</c:v>
                </c:pt>
                <c:pt idx="22">
                  <c:v>2.2331174463033676E-2</c:v>
                </c:pt>
                <c:pt idx="23">
                  <c:v>-2.1914895623922348E-2</c:v>
                </c:pt>
                <c:pt idx="24">
                  <c:v>4.7422237694263458E-2</c:v>
                </c:pt>
                <c:pt idx="25">
                  <c:v>2.5413770228624344E-2</c:v>
                </c:pt>
                <c:pt idx="26">
                  <c:v>6.0590658336877823E-2</c:v>
                </c:pt>
                <c:pt idx="27">
                  <c:v>-7.5245685875415802E-3</c:v>
                </c:pt>
                <c:pt idx="28">
                  <c:v>-6.4646050333976746E-2</c:v>
                </c:pt>
                <c:pt idx="29">
                  <c:v>1.3893205672502518E-2</c:v>
                </c:pt>
                <c:pt idx="30">
                  <c:v>2.0452027674764395E-3</c:v>
                </c:pt>
                <c:pt idx="31">
                  <c:v>-1.6198117518797517E-3</c:v>
                </c:pt>
                <c:pt idx="32">
                  <c:v>6.4565129578113556E-2</c:v>
                </c:pt>
                <c:pt idx="33">
                  <c:v>-6.2380075454711914E-2</c:v>
                </c:pt>
                <c:pt idx="34">
                  <c:v>-1.8682464957237244E-2</c:v>
                </c:pt>
                <c:pt idx="35">
                  <c:v>7.6866131275892258E-3</c:v>
                </c:pt>
                <c:pt idx="36">
                  <c:v>6.0140948742628098E-2</c:v>
                </c:pt>
                <c:pt idx="37">
                  <c:v>-6.8488838151097298E-3</c:v>
                </c:pt>
                <c:pt idx="38">
                  <c:v>6.2092319130897522E-2</c:v>
                </c:pt>
                <c:pt idx="39">
                  <c:v>-5.0445385277271271E-2</c:v>
                </c:pt>
                <c:pt idx="40">
                  <c:v>3.1820099800825119E-2</c:v>
                </c:pt>
                <c:pt idx="41">
                  <c:v>-8.1290267407894135E-2</c:v>
                </c:pt>
                <c:pt idx="42">
                  <c:v>2.056407742202282E-2</c:v>
                </c:pt>
                <c:pt idx="43">
                  <c:v>-6.0765434056520462E-2</c:v>
                </c:pt>
                <c:pt idx="44">
                  <c:v>1.5965325757861137E-2</c:v>
                </c:pt>
                <c:pt idx="45">
                  <c:v>-3.2238904386758804E-2</c:v>
                </c:pt>
                <c:pt idx="46">
                  <c:v>7.9381633549928665E-3</c:v>
                </c:pt>
                <c:pt idx="47">
                  <c:v>4.3911397457122803E-2</c:v>
                </c:pt>
                <c:pt idx="48">
                  <c:v>-5.8058328926563263E-2</c:v>
                </c:pt>
                <c:pt idx="49">
                  <c:v>5.3753156214952469E-2</c:v>
                </c:pt>
                <c:pt idx="50">
                  <c:v>3.9531238377094269E-2</c:v>
                </c:pt>
                <c:pt idx="51">
                  <c:v>2.0676396787166595E-2</c:v>
                </c:pt>
                <c:pt idx="52">
                  <c:v>-5.6185193359851837E-2</c:v>
                </c:pt>
                <c:pt idx="53">
                  <c:v>-1.6760682687163353E-2</c:v>
                </c:pt>
                <c:pt idx="54">
                  <c:v>5.7372972369194031E-2</c:v>
                </c:pt>
                <c:pt idx="55">
                  <c:v>9.2212790623307228E-3</c:v>
                </c:pt>
                <c:pt idx="56">
                  <c:v>-1.2844518758356571E-2</c:v>
                </c:pt>
                <c:pt idx="57">
                  <c:v>-0.13396196067333221</c:v>
                </c:pt>
                <c:pt idx="58">
                  <c:v>-6.844058632850647E-3</c:v>
                </c:pt>
                <c:pt idx="59">
                  <c:v>-1.0667819529771805E-2</c:v>
                </c:pt>
                <c:pt idx="60">
                  <c:v>-4.4440284371376038E-2</c:v>
                </c:pt>
                <c:pt idx="61">
                  <c:v>6.3705168664455414E-2</c:v>
                </c:pt>
                <c:pt idx="62">
                  <c:v>-8.8921841233968735E-3</c:v>
                </c:pt>
                <c:pt idx="63">
                  <c:v>6.7227408289909363E-2</c:v>
                </c:pt>
                <c:pt idx="64">
                  <c:v>-2.0027831196784973E-3</c:v>
                </c:pt>
                <c:pt idx="65">
                  <c:v>-4.1202481836080551E-2</c:v>
                </c:pt>
                <c:pt idx="66">
                  <c:v>-4.1190139017999172E-3</c:v>
                </c:pt>
                <c:pt idx="67">
                  <c:v>-7.9450003802776337E-2</c:v>
                </c:pt>
                <c:pt idx="68">
                  <c:v>-1.9744411110877991E-2</c:v>
                </c:pt>
                <c:pt idx="69">
                  <c:v>-3.3731117844581604E-2</c:v>
                </c:pt>
                <c:pt idx="70">
                  <c:v>4.647363442927599E-3</c:v>
                </c:pt>
                <c:pt idx="71">
                  <c:v>-1.3010632246732712E-2</c:v>
                </c:pt>
                <c:pt idx="72">
                  <c:v>-9.3327723443508148E-2</c:v>
                </c:pt>
                <c:pt idx="73">
                  <c:v>6.0553766787052155E-2</c:v>
                </c:pt>
                <c:pt idx="74">
                  <c:v>0.15564216673374176</c:v>
                </c:pt>
                <c:pt idx="75">
                  <c:v>-3.6481641232967377E-2</c:v>
                </c:pt>
                <c:pt idx="76">
                  <c:v>6.3359692692756653E-2</c:v>
                </c:pt>
                <c:pt idx="77">
                  <c:v>-1.2948788702487946E-2</c:v>
                </c:pt>
                <c:pt idx="78">
                  <c:v>5.8042183518409729E-2</c:v>
                </c:pt>
                <c:pt idx="79">
                  <c:v>-2.4867739994078875E-3</c:v>
                </c:pt>
                <c:pt idx="80">
                  <c:v>-3.8882368244230747E-4</c:v>
                </c:pt>
                <c:pt idx="81">
                  <c:v>-3.2683473080396652E-2</c:v>
                </c:pt>
                <c:pt idx="82">
                  <c:v>6.4924448728561401E-2</c:v>
                </c:pt>
                <c:pt idx="83">
                  <c:v>2.2940050810575485E-2</c:v>
                </c:pt>
                <c:pt idx="84">
                  <c:v>5.1386619984638671E-2</c:v>
                </c:pt>
                <c:pt idx="85">
                  <c:v>3.8558666800164731E-2</c:v>
                </c:pt>
                <c:pt idx="86">
                  <c:v>-3.1585524788888319E-2</c:v>
                </c:pt>
                <c:pt idx="87">
                  <c:v>-7.9533513507534459E-2</c:v>
                </c:pt>
                <c:pt idx="88">
                  <c:v>-3.8458149073896108E-2</c:v>
                </c:pt>
                <c:pt idx="89">
                  <c:v>7.8651264127442833E-3</c:v>
                </c:pt>
                <c:pt idx="90">
                  <c:v>-5.9549052431438043E-2</c:v>
                </c:pt>
                <c:pt idx="91">
                  <c:v>-9.0098801026694542E-4</c:v>
                </c:pt>
                <c:pt idx="92">
                  <c:v>1.4336428781953403E-2</c:v>
                </c:pt>
                <c:pt idx="93">
                  <c:v>6.1895551257253212E-2</c:v>
                </c:pt>
                <c:pt idx="94">
                  <c:v>9.3892687070662451E-3</c:v>
                </c:pt>
                <c:pt idx="95">
                  <c:v>-3.5726857452672567E-3</c:v>
                </c:pt>
                <c:pt idx="96">
                  <c:v>6.7007755715271955E-2</c:v>
                </c:pt>
                <c:pt idx="97">
                  <c:v>-3.8402112858295312E-2</c:v>
                </c:pt>
                <c:pt idx="98">
                  <c:v>-1.5402820156640185E-2</c:v>
                </c:pt>
                <c:pt idx="99">
                  <c:v>-5.520340529525003E-2</c:v>
                </c:pt>
                <c:pt idx="100">
                  <c:v>-1.4447682457297217E-2</c:v>
                </c:pt>
                <c:pt idx="101">
                  <c:v>-1.1391743899438533E-2</c:v>
                </c:pt>
                <c:pt idx="102">
                  <c:v>3.7437778359968643E-2</c:v>
                </c:pt>
                <c:pt idx="103">
                  <c:v>2.165458723705127E-2</c:v>
                </c:pt>
                <c:pt idx="104">
                  <c:v>3.2289825697559893E-2</c:v>
                </c:pt>
                <c:pt idx="105">
                  <c:v>-0.23662586749781511</c:v>
                </c:pt>
                <c:pt idx="106">
                  <c:v>9.0284602998682573E-2</c:v>
                </c:pt>
                <c:pt idx="107">
                  <c:v>-8.5296853572695785E-2</c:v>
                </c:pt>
              </c:numCache>
            </c:numRef>
          </c:val>
          <c:extLst>
            <c:ext xmlns:c16="http://schemas.microsoft.com/office/drawing/2014/chart" uri="{C3380CC4-5D6E-409C-BE32-E72D297353CC}">
              <c16:uniqueId val="{0000000D-34A9-4C5F-9B4A-D2ED25D561CA}"/>
            </c:ext>
          </c:extLst>
        </c:ser>
        <c:ser>
          <c:idx val="4"/>
          <c:order val="4"/>
          <c:tx>
            <c:strRef>
              <c:f>AC!$U$1</c:f>
              <c:strCache>
                <c:ptCount val="1"/>
                <c:pt idx="0">
                  <c:v>Adobe</c:v>
                </c:pt>
              </c:strCache>
            </c:strRef>
          </c:tx>
          <c:spPr>
            <a:solidFill>
              <a:schemeClr val="tx2"/>
            </a:solidFill>
            <a:ln>
              <a:noFill/>
            </a:ln>
            <a:effectLst/>
          </c:spPr>
          <c:invertIfNegative val="0"/>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AC!$U$2:$U$109</c:f>
              <c:numCache>
                <c:formatCode>0.00%</c:formatCode>
                <c:ptCount val="108"/>
                <c:pt idx="0">
                  <c:v>-0.1218053326010704</c:v>
                </c:pt>
                <c:pt idx="1">
                  <c:v>7.2755418717861176E-2</c:v>
                </c:pt>
                <c:pt idx="2">
                  <c:v>2.067922055721283E-2</c:v>
                </c:pt>
                <c:pt idx="3">
                  <c:v>-5.0142411142587662E-2</c:v>
                </c:pt>
                <c:pt idx="4">
                  <c:v>-4.5338097959756851E-2</c:v>
                </c:pt>
                <c:pt idx="5">
                  <c:v>-0.17622219026088715</c:v>
                </c:pt>
                <c:pt idx="6">
                  <c:v>8.6543962359428406E-2</c:v>
                </c:pt>
                <c:pt idx="7">
                  <c:v>-3.561532124876976E-2</c:v>
                </c:pt>
                <c:pt idx="8">
                  <c:v>-5.6056682020425797E-2</c:v>
                </c:pt>
                <c:pt idx="9">
                  <c:v>7.6381832361221313E-2</c:v>
                </c:pt>
                <c:pt idx="10">
                  <c:v>-1.2533392757177353E-2</c:v>
                </c:pt>
                <c:pt idx="11">
                  <c:v>0.10709424316883087</c:v>
                </c:pt>
                <c:pt idx="12">
                  <c:v>7.3649182915687561E-2</c:v>
                </c:pt>
                <c:pt idx="13">
                  <c:v>4.3772917240858078E-2</c:v>
                </c:pt>
                <c:pt idx="14">
                  <c:v>-3.8940582424402237E-2</c:v>
                </c:pt>
                <c:pt idx="15">
                  <c:v>1.1761157773435116E-2</c:v>
                </c:pt>
                <c:pt idx="16">
                  <c:v>3.2190758734941483E-2</c:v>
                </c:pt>
                <c:pt idx="17">
                  <c:v>-9.1827891767024994E-2</c:v>
                </c:pt>
                <c:pt idx="18">
                  <c:v>-0.11891891807317734</c:v>
                </c:pt>
                <c:pt idx="19">
                  <c:v>-8.9237496256828308E-2</c:v>
                </c:pt>
                <c:pt idx="20">
                  <c:v>-4.2393025010824203E-2</c:v>
                </c:pt>
                <c:pt idx="21">
                  <c:v>0.21679767966270447</c:v>
                </c:pt>
                <c:pt idx="22">
                  <c:v>-6.7664057016372681E-2</c:v>
                </c:pt>
                <c:pt idx="23">
                  <c:v>3.099927119910717E-2</c:v>
                </c:pt>
                <c:pt idx="24">
                  <c:v>9.480014443397522E-2</c:v>
                </c:pt>
                <c:pt idx="25">
                  <c:v>6.2681742012500763E-2</c:v>
                </c:pt>
                <c:pt idx="26">
                  <c:v>4.3174218386411667E-2</c:v>
                </c:pt>
                <c:pt idx="27">
                  <c:v>-2.2150976583361626E-2</c:v>
                </c:pt>
                <c:pt idx="28">
                  <c:v>-7.4615649878978729E-2</c:v>
                </c:pt>
                <c:pt idx="29">
                  <c:v>4.2512077838182449E-2</c:v>
                </c:pt>
                <c:pt idx="30">
                  <c:v>-4.6030275523662567E-2</c:v>
                </c:pt>
                <c:pt idx="31">
                  <c:v>1.2529534287750721E-2</c:v>
                </c:pt>
                <c:pt idx="32">
                  <c:v>3.7156153470277786E-2</c:v>
                </c:pt>
                <c:pt idx="33">
                  <c:v>4.8921119421720505E-2</c:v>
                </c:pt>
                <c:pt idx="34">
                  <c:v>1.7093241214752197E-2</c:v>
                </c:pt>
                <c:pt idx="35">
                  <c:v>8.8602684438228607E-2</c:v>
                </c:pt>
                <c:pt idx="36">
                  <c:v>3.9808913134038448E-3</c:v>
                </c:pt>
                <c:pt idx="37">
                  <c:v>3.9122387766838074E-2</c:v>
                </c:pt>
                <c:pt idx="38">
                  <c:v>0.10697023570537567</c:v>
                </c:pt>
                <c:pt idx="39">
                  <c:v>3.5964608192443848E-2</c:v>
                </c:pt>
                <c:pt idx="40">
                  <c:v>-4.8136644065380096E-2</c:v>
                </c:pt>
                <c:pt idx="41">
                  <c:v>6.1757165938615799E-2</c:v>
                </c:pt>
                <c:pt idx="42">
                  <c:v>3.7752415984869003E-2</c:v>
                </c:pt>
                <c:pt idx="43">
                  <c:v>-3.236040472984314E-2</c:v>
                </c:pt>
                <c:pt idx="44">
                  <c:v>0.13530054688453674</c:v>
                </c:pt>
                <c:pt idx="45">
                  <c:v>4.3896805495023727E-2</c:v>
                </c:pt>
                <c:pt idx="46">
                  <c:v>4.7215048223733902E-2</c:v>
                </c:pt>
                <c:pt idx="47">
                  <c:v>5.4579075425863266E-2</c:v>
                </c:pt>
                <c:pt idx="48">
                  <c:v>-1.1506537906825542E-2</c:v>
                </c:pt>
                <c:pt idx="49">
                  <c:v>0.15948639810085297</c:v>
                </c:pt>
                <c:pt idx="50">
                  <c:v>-4.2109865695238113E-2</c:v>
                </c:pt>
                <c:pt idx="51">
                  <c:v>-6.1606328934431076E-2</c:v>
                </c:pt>
                <c:pt idx="52">
                  <c:v>4.6198736876249313E-2</c:v>
                </c:pt>
                <c:pt idx="53">
                  <c:v>0.12116517126560211</c:v>
                </c:pt>
                <c:pt idx="54">
                  <c:v>-4.2980927973985672E-2</c:v>
                </c:pt>
                <c:pt idx="55">
                  <c:v>3.8268648087978363E-2</c:v>
                </c:pt>
                <c:pt idx="56">
                  <c:v>-3.7691239267587662E-2</c:v>
                </c:pt>
                <c:pt idx="57">
                  <c:v>1.3441248796880245E-2</c:v>
                </c:pt>
                <c:pt idx="58">
                  <c:v>5.07701076567173E-2</c:v>
                </c:pt>
                <c:pt idx="59">
                  <c:v>-1.330076064914465E-2</c:v>
                </c:pt>
                <c:pt idx="60">
                  <c:v>-3.5350754857063293E-2</c:v>
                </c:pt>
                <c:pt idx="61">
                  <c:v>0.12790532410144806</c:v>
                </c:pt>
                <c:pt idx="62">
                  <c:v>-6.5233878791332245E-2</c:v>
                </c:pt>
                <c:pt idx="63">
                  <c:v>2.8671896085143089E-2</c:v>
                </c:pt>
                <c:pt idx="64">
                  <c:v>3.983696922659874E-2</c:v>
                </c:pt>
                <c:pt idx="65">
                  <c:v>2.4276141077280045E-2</c:v>
                </c:pt>
                <c:pt idx="66">
                  <c:v>1.2097272090613842E-2</c:v>
                </c:pt>
                <c:pt idx="67">
                  <c:v>-4.1712403297424316E-2</c:v>
                </c:pt>
                <c:pt idx="68">
                  <c:v>4.6455390751361847E-2</c:v>
                </c:pt>
                <c:pt idx="69">
                  <c:v>7.832644134759903E-2</c:v>
                </c:pt>
                <c:pt idx="70">
                  <c:v>3.1581323593854904E-2</c:v>
                </c:pt>
                <c:pt idx="71">
                  <c:v>2.7015678584575653E-2</c:v>
                </c:pt>
                <c:pt idx="72">
                  <c:v>-5.1302898675203323E-2</c:v>
                </c:pt>
                <c:pt idx="73">
                  <c:v>-4.4853877276182175E-2</c:v>
                </c:pt>
                <c:pt idx="74">
                  <c:v>0.10138543695211411</c:v>
                </c:pt>
                <c:pt idx="75">
                  <c:v>4.3776119127869606E-3</c:v>
                </c:pt>
                <c:pt idx="76">
                  <c:v>5.5620651692152023E-2</c:v>
                </c:pt>
                <c:pt idx="77">
                  <c:v>-3.7196077406406403E-2</c:v>
                </c:pt>
                <c:pt idx="78">
                  <c:v>2.1409772336483002E-2</c:v>
                </c:pt>
                <c:pt idx="79">
                  <c:v>4.5273125171661377E-2</c:v>
                </c:pt>
                <c:pt idx="80">
                  <c:v>6.0693364590406418E-2</c:v>
                </c:pt>
                <c:pt idx="81">
                  <c:v>-9.6895890310406685E-3</c:v>
                </c:pt>
                <c:pt idx="82">
                  <c:v>-4.3816864490509033E-2</c:v>
                </c:pt>
                <c:pt idx="83">
                  <c:v>1.0617352090775967E-3</c:v>
                </c:pt>
                <c:pt idx="84">
                  <c:v>0.10131138714289833</c:v>
                </c:pt>
                <c:pt idx="85">
                  <c:v>4.3746811538427188E-2</c:v>
                </c:pt>
                <c:pt idx="86">
                  <c:v>9.9627954737172564E-2</c:v>
                </c:pt>
                <c:pt idx="87">
                  <c:v>2.7741522313600164E-2</c:v>
                </c:pt>
                <c:pt idx="88">
                  <c:v>6.0714851393121272E-2</c:v>
                </c:pt>
                <c:pt idx="89">
                  <c:v>-2.9605474196138237E-3</c:v>
                </c:pt>
                <c:pt idx="90">
                  <c:v>3.5704028448610314E-2</c:v>
                </c:pt>
                <c:pt idx="91">
                  <c:v>5.9184951105119232E-2</c:v>
                </c:pt>
                <c:pt idx="92">
                  <c:v>-3.8540891948283473E-2</c:v>
                </c:pt>
                <c:pt idx="93">
                  <c:v>0.17415211092759209</c:v>
                </c:pt>
                <c:pt idx="94">
                  <c:v>3.6024157437931414E-2</c:v>
                </c:pt>
                <c:pt idx="95">
                  <c:v>-3.4330657035582912E-2</c:v>
                </c:pt>
                <c:pt idx="96">
                  <c:v>0.13992235422960264</c:v>
                </c:pt>
                <c:pt idx="97">
                  <c:v>4.6905633120877477E-2</c:v>
                </c:pt>
                <c:pt idx="98">
                  <c:v>3.3233482313783869E-2</c:v>
                </c:pt>
                <c:pt idx="99">
                  <c:v>2.554581057746752E-2</c:v>
                </c:pt>
                <c:pt idx="100">
                  <c:v>0.12490943484625139</c:v>
                </c:pt>
                <c:pt idx="101">
                  <c:v>-2.1943182861892563E-2</c:v>
                </c:pt>
                <c:pt idx="102">
                  <c:v>3.5686024376322401E-3</c:v>
                </c:pt>
                <c:pt idx="103">
                  <c:v>7.6957381794768409E-2</c:v>
                </c:pt>
                <c:pt idx="104">
                  <c:v>2.4439102612316299E-2</c:v>
                </c:pt>
                <c:pt idx="105">
                  <c:v>-8.9608817637907068E-2</c:v>
                </c:pt>
                <c:pt idx="106">
                  <c:v>2.087436054327152E-2</c:v>
                </c:pt>
                <c:pt idx="107">
                  <c:v>-9.8250783363855621E-2</c:v>
                </c:pt>
              </c:numCache>
            </c:numRef>
          </c:val>
          <c:extLst>
            <c:ext xmlns:c16="http://schemas.microsoft.com/office/drawing/2014/chart" uri="{C3380CC4-5D6E-409C-BE32-E72D297353CC}">
              <c16:uniqueId val="{0000000E-34A9-4C5F-9B4A-D2ED25D561CA}"/>
            </c:ext>
          </c:extLst>
        </c:ser>
        <c:dLbls>
          <c:showLegendKey val="0"/>
          <c:showVal val="0"/>
          <c:showCatName val="0"/>
          <c:showSerName val="0"/>
          <c:showPercent val="0"/>
          <c:showBubbleSize val="0"/>
        </c:dLbls>
        <c:gapWidth val="150"/>
        <c:axId val="751882712"/>
        <c:axId val="751885336"/>
      </c:barChart>
      <c:lineChart>
        <c:grouping val="standard"/>
        <c:varyColors val="0"/>
        <c:ser>
          <c:idx val="5"/>
          <c:order val="5"/>
          <c:tx>
            <c:strRef>
              <c:f>AC!$V$1</c:f>
              <c:strCache>
                <c:ptCount val="1"/>
                <c:pt idx="0">
                  <c:v>Tata Motors Beta</c:v>
                </c:pt>
              </c:strCache>
            </c:strRef>
          </c:tx>
          <c:spPr>
            <a:ln w="28575" cap="rnd">
              <a:solidFill>
                <a:srgbClr val="5E838C"/>
              </a:solidFill>
              <a:round/>
            </a:ln>
            <a:effectLst/>
          </c:spPr>
          <c:marker>
            <c:symbol val="none"/>
          </c:marker>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AC!$V$2:$V$109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1.0310470230847979</c:v>
                </c:pt>
                <c:pt idx="60">
                  <c:v>0.87696943949903483</c:v>
                </c:pt>
                <c:pt idx="61">
                  <c:v>0.9095556994069629</c:v>
                </c:pt>
                <c:pt idx="62">
                  <c:v>0.92911211113826297</c:v>
                </c:pt>
                <c:pt idx="63">
                  <c:v>0.68405868614639997</c:v>
                </c:pt>
                <c:pt idx="64">
                  <c:v>0.77101853657068053</c:v>
                </c:pt>
                <c:pt idx="65">
                  <c:v>0.83558170197321291</c:v>
                </c:pt>
                <c:pt idx="66">
                  <c:v>0.98977806291880033</c:v>
                </c:pt>
                <c:pt idx="67">
                  <c:v>0.57889526844085026</c:v>
                </c:pt>
                <c:pt idx="68">
                  <c:v>0.49442747555619776</c:v>
                </c:pt>
                <c:pt idx="69">
                  <c:v>0.55136118880386731</c:v>
                </c:pt>
                <c:pt idx="70">
                  <c:v>0.31839204763932677</c:v>
                </c:pt>
                <c:pt idx="71">
                  <c:v>0.36569968485246401</c:v>
                </c:pt>
                <c:pt idx="72">
                  <c:v>0.2611834972150715</c:v>
                </c:pt>
                <c:pt idx="73">
                  <c:v>0.1959051347796312</c:v>
                </c:pt>
                <c:pt idx="74">
                  <c:v>0.21631144939654476</c:v>
                </c:pt>
                <c:pt idx="75">
                  <c:v>0.13030004212104102</c:v>
                </c:pt>
                <c:pt idx="76">
                  <c:v>7.8586316430262704E-2</c:v>
                </c:pt>
                <c:pt idx="77">
                  <c:v>0.28245091423887558</c:v>
                </c:pt>
                <c:pt idx="78">
                  <c:v>0.31844248288053961</c:v>
                </c:pt>
                <c:pt idx="79">
                  <c:v>0.4137224494994719</c:v>
                </c:pt>
                <c:pt idx="80">
                  <c:v>0.64388733994819647</c:v>
                </c:pt>
                <c:pt idx="81">
                  <c:v>0.77001024454977129</c:v>
                </c:pt>
                <c:pt idx="82">
                  <c:v>0.82940047700676567</c:v>
                </c:pt>
                <c:pt idx="83">
                  <c:v>0.79940769163997072</c:v>
                </c:pt>
                <c:pt idx="84">
                  <c:v>0.74064323534291454</c:v>
                </c:pt>
                <c:pt idx="85">
                  <c:v>0.77162636902137782</c:v>
                </c:pt>
                <c:pt idx="86">
                  <c:v>0.7073577096899597</c:v>
                </c:pt>
                <c:pt idx="87">
                  <c:v>0.52078940664240647</c:v>
                </c:pt>
                <c:pt idx="88">
                  <c:v>0.5499056574580361</c:v>
                </c:pt>
                <c:pt idx="89">
                  <c:v>0.52745764137583884</c:v>
                </c:pt>
                <c:pt idx="90">
                  <c:v>0.76773036565755604</c:v>
                </c:pt>
                <c:pt idx="91">
                  <c:v>0.5670551007074377</c:v>
                </c:pt>
                <c:pt idx="92">
                  <c:v>0.5313038601430623</c:v>
                </c:pt>
                <c:pt idx="93">
                  <c:v>0.54847957305499351</c:v>
                </c:pt>
                <c:pt idx="94">
                  <c:v>0.48932218255006521</c:v>
                </c:pt>
                <c:pt idx="95">
                  <c:v>0.60270255295123587</c:v>
                </c:pt>
                <c:pt idx="96">
                  <c:v>0.16243860289920736</c:v>
                </c:pt>
                <c:pt idx="97">
                  <c:v>0.16895612797773721</c:v>
                </c:pt>
                <c:pt idx="98">
                  <c:v>0.11997954124864085</c:v>
                </c:pt>
                <c:pt idx="99">
                  <c:v>0.21776532109273686</c:v>
                </c:pt>
                <c:pt idx="100">
                  <c:v>-4.8857372458173266E-2</c:v>
                </c:pt>
                <c:pt idx="101">
                  <c:v>-0.15407881036988347</c:v>
                </c:pt>
                <c:pt idx="102">
                  <c:v>-0.14578791667368654</c:v>
                </c:pt>
                <c:pt idx="103">
                  <c:v>-0.15981526170481475</c:v>
                </c:pt>
                <c:pt idx="104">
                  <c:v>-0.12442112083850319</c:v>
                </c:pt>
                <c:pt idx="105">
                  <c:v>-0.13326484913803927</c:v>
                </c:pt>
                <c:pt idx="106">
                  <c:v>-0.10590038781659428</c:v>
                </c:pt>
                <c:pt idx="107">
                  <c:v>0.22024058631589236</c:v>
                </c:pt>
              </c:numCache>
            </c:numRef>
          </c:val>
          <c:smooth val="0"/>
          <c:extLst>
            <c:ext xmlns:c16="http://schemas.microsoft.com/office/drawing/2014/chart" uri="{C3380CC4-5D6E-409C-BE32-E72D297353CC}">
              <c16:uniqueId val="{0000000F-34A9-4C5F-9B4A-D2ED25D561CA}"/>
            </c:ext>
          </c:extLst>
        </c:ser>
        <c:ser>
          <c:idx val="6"/>
          <c:order val="6"/>
          <c:tx>
            <c:strRef>
              <c:f>AC!$W$1</c:f>
              <c:strCache>
                <c:ptCount val="1"/>
                <c:pt idx="0">
                  <c:v>Toyota Beta</c:v>
                </c:pt>
              </c:strCache>
            </c:strRef>
          </c:tx>
          <c:spPr>
            <a:ln w="28575" cap="rnd">
              <a:solidFill>
                <a:schemeClr val="accent1"/>
              </a:solidFill>
              <a:round/>
            </a:ln>
            <a:effectLst/>
          </c:spPr>
          <c:marker>
            <c:symbol val="none"/>
          </c:marker>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AC!$W$2:$W$109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-0.7736058328701797</c:v>
                </c:pt>
                <c:pt idx="60">
                  <c:v>-0.86499468407552604</c:v>
                </c:pt>
                <c:pt idx="61">
                  <c:v>-0.84106224554247555</c:v>
                </c:pt>
                <c:pt idx="62">
                  <c:v>-0.89544584407682049</c:v>
                </c:pt>
                <c:pt idx="63">
                  <c:v>-0.93019628861462544</c:v>
                </c:pt>
                <c:pt idx="64">
                  <c:v>-0.87234937981438931</c:v>
                </c:pt>
                <c:pt idx="65">
                  <c:v>-0.845069590708872</c:v>
                </c:pt>
                <c:pt idx="66">
                  <c:v>-0.80389000374815245</c:v>
                </c:pt>
                <c:pt idx="67">
                  <c:v>-0.81058533374430319</c:v>
                </c:pt>
                <c:pt idx="68">
                  <c:v>-0.84643106696186154</c:v>
                </c:pt>
                <c:pt idx="69">
                  <c:v>-0.83077162658976789</c:v>
                </c:pt>
                <c:pt idx="70">
                  <c:v>-1.0244036012471698</c:v>
                </c:pt>
                <c:pt idx="71">
                  <c:v>-1.015159168646532</c:v>
                </c:pt>
                <c:pt idx="72">
                  <c:v>-1.0075735131706096</c:v>
                </c:pt>
                <c:pt idx="73">
                  <c:v>-1.3160415023471259</c:v>
                </c:pt>
                <c:pt idx="74">
                  <c:v>-1.2833104115234386</c:v>
                </c:pt>
                <c:pt idx="75">
                  <c:v>-1.3083211297136828</c:v>
                </c:pt>
                <c:pt idx="76">
                  <c:v>-1.2894645831465317</c:v>
                </c:pt>
                <c:pt idx="77">
                  <c:v>-1.2751338511640842</c:v>
                </c:pt>
                <c:pt idx="78">
                  <c:v>-1.474495228350899</c:v>
                </c:pt>
                <c:pt idx="79">
                  <c:v>-1.4396535407117315</c:v>
                </c:pt>
                <c:pt idx="80">
                  <c:v>-1.4571224407392076</c:v>
                </c:pt>
                <c:pt idx="81">
                  <c:v>-1.3564992513324678</c:v>
                </c:pt>
                <c:pt idx="82">
                  <c:v>-1.359012506098644</c:v>
                </c:pt>
                <c:pt idx="83">
                  <c:v>-1.3301806879392704</c:v>
                </c:pt>
                <c:pt idx="84">
                  <c:v>-1.2573778013218633</c:v>
                </c:pt>
                <c:pt idx="85">
                  <c:v>-1.2328113547477946</c:v>
                </c:pt>
                <c:pt idx="86">
                  <c:v>-1.2346801461150696</c:v>
                </c:pt>
                <c:pt idx="87">
                  <c:v>-1.2103905344788493</c:v>
                </c:pt>
                <c:pt idx="88">
                  <c:v>-1.2073798316264108</c:v>
                </c:pt>
                <c:pt idx="89">
                  <c:v>-1.2138286076630558</c:v>
                </c:pt>
                <c:pt idx="90">
                  <c:v>-1.1752228463359513</c:v>
                </c:pt>
                <c:pt idx="91">
                  <c:v>-1.1804628920999007</c:v>
                </c:pt>
                <c:pt idx="92">
                  <c:v>-1.2008114500324019</c:v>
                </c:pt>
                <c:pt idx="93">
                  <c:v>-1.1927465221786755</c:v>
                </c:pt>
                <c:pt idx="94">
                  <c:v>-1.0521654133323466</c:v>
                </c:pt>
                <c:pt idx="95">
                  <c:v>-1.0152243044167082</c:v>
                </c:pt>
                <c:pt idx="96">
                  <c:v>-1.1146109906007726</c:v>
                </c:pt>
                <c:pt idx="97">
                  <c:v>-1.0930275916406793</c:v>
                </c:pt>
                <c:pt idx="98">
                  <c:v>-1.0921523818365106</c:v>
                </c:pt>
                <c:pt idx="99">
                  <c:v>-0.99347946421446864</c:v>
                </c:pt>
                <c:pt idx="100">
                  <c:v>-0.99000195554740189</c:v>
                </c:pt>
                <c:pt idx="101">
                  <c:v>-0.92674029222315746</c:v>
                </c:pt>
                <c:pt idx="102">
                  <c:v>-0.92951880039949175</c:v>
                </c:pt>
                <c:pt idx="103">
                  <c:v>-0.94733457669941068</c:v>
                </c:pt>
                <c:pt idx="104">
                  <c:v>-0.95721291647558682</c:v>
                </c:pt>
                <c:pt idx="105">
                  <c:v>-0.95373203458175737</c:v>
                </c:pt>
                <c:pt idx="106">
                  <c:v>-1.0432862019060705</c:v>
                </c:pt>
                <c:pt idx="107">
                  <c:v>-0.94867376431076778</c:v>
                </c:pt>
              </c:numCache>
            </c:numRef>
          </c:val>
          <c:smooth val="0"/>
          <c:extLst>
            <c:ext xmlns:c16="http://schemas.microsoft.com/office/drawing/2014/chart" uri="{C3380CC4-5D6E-409C-BE32-E72D297353CC}">
              <c16:uniqueId val="{00000010-34A9-4C5F-9B4A-D2ED25D561CA}"/>
            </c:ext>
          </c:extLst>
        </c:ser>
        <c:ser>
          <c:idx val="7"/>
          <c:order val="7"/>
          <c:tx>
            <c:strRef>
              <c:f>AC!$X$1</c:f>
              <c:strCache>
                <c:ptCount val="1"/>
                <c:pt idx="0">
                  <c:v>BP Beta</c:v>
                </c:pt>
              </c:strCache>
            </c:strRef>
          </c:tx>
          <c:spPr>
            <a:ln w="28575" cap="rnd">
              <a:solidFill>
                <a:srgbClr val="8B4513"/>
              </a:solidFill>
              <a:round/>
            </a:ln>
            <a:effectLst/>
          </c:spPr>
          <c:marker>
            <c:symbol val="none"/>
          </c:marker>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AC!$X$2:$X$109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1.0230615532330569</c:v>
                </c:pt>
                <c:pt idx="60">
                  <c:v>1.1182929982871335</c:v>
                </c:pt>
                <c:pt idx="61">
                  <c:v>1.1733908849794448</c:v>
                </c:pt>
                <c:pt idx="62">
                  <c:v>1.1951919014636951</c:v>
                </c:pt>
                <c:pt idx="63">
                  <c:v>1.2402990551861761</c:v>
                </c:pt>
                <c:pt idx="64">
                  <c:v>1.2149574997642483</c:v>
                </c:pt>
                <c:pt idx="65">
                  <c:v>0.99375010158961707</c:v>
                </c:pt>
                <c:pt idx="66">
                  <c:v>0.84694960748825199</c:v>
                </c:pt>
                <c:pt idx="67">
                  <c:v>0.91717494106239827</c:v>
                </c:pt>
                <c:pt idx="68">
                  <c:v>1.0127127249940242</c:v>
                </c:pt>
                <c:pt idx="69">
                  <c:v>1.0436649924725196</c:v>
                </c:pt>
                <c:pt idx="70">
                  <c:v>0.98786148180115729</c:v>
                </c:pt>
                <c:pt idx="71">
                  <c:v>1.0127577939818992</c:v>
                </c:pt>
                <c:pt idx="72">
                  <c:v>1.1152128208629351</c:v>
                </c:pt>
                <c:pt idx="73">
                  <c:v>1.0230552840293203</c:v>
                </c:pt>
                <c:pt idx="74">
                  <c:v>1.000871870496727</c:v>
                </c:pt>
                <c:pt idx="75">
                  <c:v>1.0478907249133871</c:v>
                </c:pt>
                <c:pt idx="76">
                  <c:v>1.0556231415604478</c:v>
                </c:pt>
                <c:pt idx="77">
                  <c:v>1.3315983402975955</c:v>
                </c:pt>
                <c:pt idx="78">
                  <c:v>1.3175553385539109</c:v>
                </c:pt>
                <c:pt idx="79">
                  <c:v>1.3519658371102699</c:v>
                </c:pt>
                <c:pt idx="80">
                  <c:v>1.4650213826785832</c:v>
                </c:pt>
                <c:pt idx="81">
                  <c:v>1.3424251082539826</c:v>
                </c:pt>
                <c:pt idx="82">
                  <c:v>1.3179445168950954</c:v>
                </c:pt>
                <c:pt idx="83">
                  <c:v>1.253281937996098</c:v>
                </c:pt>
                <c:pt idx="84">
                  <c:v>0.88503981857730651</c:v>
                </c:pt>
                <c:pt idx="85">
                  <c:v>0.89593821011664998</c:v>
                </c:pt>
                <c:pt idx="86">
                  <c:v>0.80206102981940408</c:v>
                </c:pt>
                <c:pt idx="87">
                  <c:v>0.81222299740877923</c:v>
                </c:pt>
                <c:pt idx="88">
                  <c:v>0.83591609489674046</c:v>
                </c:pt>
                <c:pt idx="89">
                  <c:v>0.82840982063373492</c:v>
                </c:pt>
                <c:pt idx="90">
                  <c:v>0.9075111124900429</c:v>
                </c:pt>
                <c:pt idx="91">
                  <c:v>0.96134277227445986</c:v>
                </c:pt>
                <c:pt idx="92">
                  <c:v>0.90669624936491888</c:v>
                </c:pt>
                <c:pt idx="93">
                  <c:v>0.91917330793621654</c:v>
                </c:pt>
                <c:pt idx="94">
                  <c:v>0.84000677341223329</c:v>
                </c:pt>
                <c:pt idx="95">
                  <c:v>0.83390820384198527</c:v>
                </c:pt>
                <c:pt idx="96">
                  <c:v>0.82740327158691096</c:v>
                </c:pt>
                <c:pt idx="97">
                  <c:v>0.82300985830488238</c:v>
                </c:pt>
                <c:pt idx="98">
                  <c:v>0.86523858930035424</c:v>
                </c:pt>
                <c:pt idx="99">
                  <c:v>0.91426839423235284</c:v>
                </c:pt>
                <c:pt idx="100">
                  <c:v>1.0478141726205492</c:v>
                </c:pt>
                <c:pt idx="101">
                  <c:v>1.0529022522136033</c:v>
                </c:pt>
                <c:pt idx="102">
                  <c:v>1.0612488301626726</c:v>
                </c:pt>
                <c:pt idx="103">
                  <c:v>1.0422682717167513</c:v>
                </c:pt>
                <c:pt idx="104">
                  <c:v>1.0074681370397032</c:v>
                </c:pt>
                <c:pt idx="105">
                  <c:v>0.99903213969699511</c:v>
                </c:pt>
                <c:pt idx="106">
                  <c:v>0.97267943816002544</c:v>
                </c:pt>
                <c:pt idx="107">
                  <c:v>0.9768367656025726</c:v>
                </c:pt>
              </c:numCache>
            </c:numRef>
          </c:val>
          <c:smooth val="0"/>
          <c:extLst>
            <c:ext xmlns:c16="http://schemas.microsoft.com/office/drawing/2014/chart" uri="{C3380CC4-5D6E-409C-BE32-E72D297353CC}">
              <c16:uniqueId val="{00000011-34A9-4C5F-9B4A-D2ED25D561CA}"/>
            </c:ext>
          </c:extLst>
        </c:ser>
        <c:ser>
          <c:idx val="8"/>
          <c:order val="8"/>
          <c:tx>
            <c:strRef>
              <c:f>AC!$Y$1</c:f>
              <c:strCache>
                <c:ptCount val="1"/>
                <c:pt idx="0">
                  <c:v>IBM Beta</c:v>
                </c:pt>
              </c:strCache>
            </c:strRef>
          </c:tx>
          <c:spPr>
            <a:ln w="28575" cap="rnd">
              <a:solidFill>
                <a:schemeClr val="accent2"/>
              </a:solidFill>
              <a:round/>
            </a:ln>
            <a:effectLst/>
          </c:spPr>
          <c:marker>
            <c:symbol val="none"/>
          </c:marker>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AC!$Y$2:$Y$109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3.6011672901259277E-2</c:v>
                </c:pt>
                <c:pt idx="60">
                  <c:v>-1.2874275489696514E-2</c:v>
                </c:pt>
                <c:pt idx="61">
                  <c:v>-4.5604083856719956E-2</c:v>
                </c:pt>
                <c:pt idx="62">
                  <c:v>-2.8509642836768885E-2</c:v>
                </c:pt>
                <c:pt idx="63">
                  <c:v>3.5369194157389969E-2</c:v>
                </c:pt>
                <c:pt idx="64">
                  <c:v>2.0480715153813184E-2</c:v>
                </c:pt>
                <c:pt idx="65">
                  <c:v>4.8467649970785606E-2</c:v>
                </c:pt>
                <c:pt idx="66">
                  <c:v>6.5676708553682031E-2</c:v>
                </c:pt>
                <c:pt idx="67">
                  <c:v>9.8044014229293014E-2</c:v>
                </c:pt>
                <c:pt idx="68">
                  <c:v>0.16085107544447955</c:v>
                </c:pt>
                <c:pt idx="69">
                  <c:v>0.11765053840857843</c:v>
                </c:pt>
                <c:pt idx="70">
                  <c:v>8.4547180759397308E-2</c:v>
                </c:pt>
                <c:pt idx="71">
                  <c:v>8.421228943731135E-2</c:v>
                </c:pt>
                <c:pt idx="72">
                  <c:v>8.1034876914705761E-2</c:v>
                </c:pt>
                <c:pt idx="73">
                  <c:v>0.18827407854855205</c:v>
                </c:pt>
                <c:pt idx="74">
                  <c:v>0.24504810108899494</c:v>
                </c:pt>
                <c:pt idx="75">
                  <c:v>0.18044385851960348</c:v>
                </c:pt>
                <c:pt idx="76">
                  <c:v>0.15684877974251113</c:v>
                </c:pt>
                <c:pt idx="77">
                  <c:v>0.15542780130460579</c:v>
                </c:pt>
                <c:pt idx="78">
                  <c:v>8.7782521492679594E-3</c:v>
                </c:pt>
                <c:pt idx="79">
                  <c:v>1.5136089830469017E-2</c:v>
                </c:pt>
                <c:pt idx="80">
                  <c:v>0.13466600119469013</c:v>
                </c:pt>
                <c:pt idx="81">
                  <c:v>0.19438948671188633</c:v>
                </c:pt>
                <c:pt idx="82">
                  <c:v>0.14438792772297593</c:v>
                </c:pt>
                <c:pt idx="83">
                  <c:v>0.13914286340321577</c:v>
                </c:pt>
                <c:pt idx="84">
                  <c:v>0.21163125355660362</c:v>
                </c:pt>
                <c:pt idx="85">
                  <c:v>0.20476364975123737</c:v>
                </c:pt>
                <c:pt idx="86">
                  <c:v>0.36854283756662504</c:v>
                </c:pt>
                <c:pt idx="87">
                  <c:v>0.40867733707580145</c:v>
                </c:pt>
                <c:pt idx="88">
                  <c:v>0.39744730588008209</c:v>
                </c:pt>
                <c:pt idx="89">
                  <c:v>0.39574788778285874</c:v>
                </c:pt>
                <c:pt idx="90">
                  <c:v>0.34816356077769911</c:v>
                </c:pt>
                <c:pt idx="91">
                  <c:v>0.34196942739628927</c:v>
                </c:pt>
                <c:pt idx="92">
                  <c:v>0.33538127891825092</c:v>
                </c:pt>
                <c:pt idx="93">
                  <c:v>0.36470614866664275</c:v>
                </c:pt>
                <c:pt idx="94">
                  <c:v>0.34842898651410742</c:v>
                </c:pt>
                <c:pt idx="95">
                  <c:v>0.33042519039892859</c:v>
                </c:pt>
                <c:pt idx="96">
                  <c:v>0.42064017230731787</c:v>
                </c:pt>
                <c:pt idx="97">
                  <c:v>0.4236805213328016</c:v>
                </c:pt>
                <c:pt idx="98">
                  <c:v>0.42612684069100731</c:v>
                </c:pt>
                <c:pt idx="99">
                  <c:v>0.29407003981737012</c:v>
                </c:pt>
                <c:pt idx="100">
                  <c:v>0.36645143122943669</c:v>
                </c:pt>
                <c:pt idx="101">
                  <c:v>0.31714924331562871</c:v>
                </c:pt>
                <c:pt idx="102">
                  <c:v>0.29390388110005572</c:v>
                </c:pt>
                <c:pt idx="103">
                  <c:v>0.31474769627878452</c:v>
                </c:pt>
                <c:pt idx="104">
                  <c:v>0.28250189754060367</c:v>
                </c:pt>
                <c:pt idx="105">
                  <c:v>0.32240378624391558</c:v>
                </c:pt>
                <c:pt idx="106">
                  <c:v>0.4005432943121211</c:v>
                </c:pt>
                <c:pt idx="107">
                  <c:v>0.40952856065513221</c:v>
                </c:pt>
              </c:numCache>
            </c:numRef>
          </c:val>
          <c:smooth val="0"/>
          <c:extLst>
            <c:ext xmlns:c16="http://schemas.microsoft.com/office/drawing/2014/chart" uri="{C3380CC4-5D6E-409C-BE32-E72D297353CC}">
              <c16:uniqueId val="{00000012-34A9-4C5F-9B4A-D2ED25D561CA}"/>
            </c:ext>
          </c:extLst>
        </c:ser>
        <c:ser>
          <c:idx val="9"/>
          <c:order val="9"/>
          <c:tx>
            <c:strRef>
              <c:f>AC!$Z$1</c:f>
              <c:strCache>
                <c:ptCount val="1"/>
                <c:pt idx="0">
                  <c:v>Adobe Beta</c:v>
                </c:pt>
              </c:strCache>
            </c:strRef>
          </c:tx>
          <c:spPr>
            <a:ln w="28575" cap="rnd">
              <a:solidFill>
                <a:schemeClr val="tx2"/>
              </a:solidFill>
              <a:round/>
            </a:ln>
            <a:effectLst/>
          </c:spPr>
          <c:marker>
            <c:symbol val="none"/>
          </c:marker>
          <c:cat>
            <c:numRef>
              <c:f>AC!$P$2:$P$109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AC!$Z$2:$Z$109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0.24455165663837489</c:v>
                </c:pt>
                <c:pt idx="60">
                  <c:v>0.1590676762837504</c:v>
                </c:pt>
                <c:pt idx="61">
                  <c:v>0.11006723868499009</c:v>
                </c:pt>
                <c:pt idx="62">
                  <c:v>0.20810607076874291</c:v>
                </c:pt>
                <c:pt idx="63">
                  <c:v>0.15254649714032234</c:v>
                </c:pt>
                <c:pt idx="64">
                  <c:v>8.5144605950905325E-2</c:v>
                </c:pt>
                <c:pt idx="65">
                  <c:v>-5.6219631987598141E-2</c:v>
                </c:pt>
                <c:pt idx="66">
                  <c:v>-4.937107101067463E-2</c:v>
                </c:pt>
                <c:pt idx="67">
                  <c:v>-6.1764021065625861E-2</c:v>
                </c:pt>
                <c:pt idx="68">
                  <c:v>-0.33482875512082494</c:v>
                </c:pt>
                <c:pt idx="69">
                  <c:v>-0.34245684039579333</c:v>
                </c:pt>
                <c:pt idx="70">
                  <c:v>-0.34672357377451002</c:v>
                </c:pt>
                <c:pt idx="71">
                  <c:v>-0.3559892043585447</c:v>
                </c:pt>
                <c:pt idx="72">
                  <c:v>-0.28987269792769094</c:v>
                </c:pt>
                <c:pt idx="73">
                  <c:v>-0.34361660229398983</c:v>
                </c:pt>
                <c:pt idx="74">
                  <c:v>-0.32469318808918712</c:v>
                </c:pt>
                <c:pt idx="75">
                  <c:v>-0.38167774127600329</c:v>
                </c:pt>
                <c:pt idx="76">
                  <c:v>-0.38456247266916438</c:v>
                </c:pt>
                <c:pt idx="77">
                  <c:v>-0.41928743784848699</c:v>
                </c:pt>
                <c:pt idx="78">
                  <c:v>-0.15850126283582391</c:v>
                </c:pt>
                <c:pt idx="79">
                  <c:v>-0.18247911358674618</c:v>
                </c:pt>
                <c:pt idx="80">
                  <c:v>-7.1460138349989044E-2</c:v>
                </c:pt>
                <c:pt idx="81">
                  <c:v>-0.38691215195447759</c:v>
                </c:pt>
                <c:pt idx="82">
                  <c:v>-0.3468140728924205</c:v>
                </c:pt>
                <c:pt idx="83">
                  <c:v>-0.32799545672389319</c:v>
                </c:pt>
                <c:pt idx="84">
                  <c:v>-0.16421319793660874</c:v>
                </c:pt>
                <c:pt idx="85">
                  <c:v>-0.16471384265215572</c:v>
                </c:pt>
                <c:pt idx="86">
                  <c:v>-0.19425529529729577</c:v>
                </c:pt>
                <c:pt idx="87">
                  <c:v>-0.10651415473282123</c:v>
                </c:pt>
                <c:pt idx="88">
                  <c:v>-0.10630895323114113</c:v>
                </c:pt>
                <c:pt idx="89">
                  <c:v>-0.1125030296767674</c:v>
                </c:pt>
                <c:pt idx="90">
                  <c:v>7.7528096198445251E-2</c:v>
                </c:pt>
                <c:pt idx="91">
                  <c:v>8.5664642332873173E-2</c:v>
                </c:pt>
                <c:pt idx="92">
                  <c:v>0.13648451497824682</c:v>
                </c:pt>
                <c:pt idx="93">
                  <c:v>0.16244997927555377</c:v>
                </c:pt>
                <c:pt idx="94">
                  <c:v>0.14243786656955598</c:v>
                </c:pt>
                <c:pt idx="95">
                  <c:v>0.1708597477672511</c:v>
                </c:pt>
                <c:pt idx="96">
                  <c:v>6.3717736047039342E-2</c:v>
                </c:pt>
                <c:pt idx="97">
                  <c:v>0.10291036000972247</c:v>
                </c:pt>
                <c:pt idx="98">
                  <c:v>0.13696412689337834</c:v>
                </c:pt>
                <c:pt idx="99">
                  <c:v>0.1127902265589725</c:v>
                </c:pt>
                <c:pt idx="100">
                  <c:v>8.9653724363646534E-2</c:v>
                </c:pt>
                <c:pt idx="101">
                  <c:v>0.14477561509188352</c:v>
                </c:pt>
                <c:pt idx="102">
                  <c:v>0.13431886925382411</c:v>
                </c:pt>
                <c:pt idx="103">
                  <c:v>0.14325084038609218</c:v>
                </c:pt>
                <c:pt idx="104">
                  <c:v>0.17010187480016775</c:v>
                </c:pt>
                <c:pt idx="105">
                  <c:v>0.15923740716470849</c:v>
                </c:pt>
                <c:pt idx="106">
                  <c:v>0.15018450396511218</c:v>
                </c:pt>
                <c:pt idx="107">
                  <c:v>0.11614563762025469</c:v>
                </c:pt>
              </c:numCache>
            </c:numRef>
          </c:val>
          <c:smooth val="0"/>
          <c:extLst>
            <c:ext xmlns:c16="http://schemas.microsoft.com/office/drawing/2014/chart" uri="{C3380CC4-5D6E-409C-BE32-E72D297353CC}">
              <c16:uniqueId val="{00000013-34A9-4C5F-9B4A-D2ED25D561CA}"/>
            </c:ext>
          </c:extLst>
        </c:ser>
        <c:dLbls>
          <c:showLegendKey val="0"/>
          <c:showVal val="0"/>
          <c:showCatName val="0"/>
          <c:showSerName val="0"/>
          <c:showPercent val="0"/>
          <c:showBubbleSize val="0"/>
        </c:dLbls>
        <c:marker val="1"/>
        <c:smooth val="0"/>
        <c:axId val="633410784"/>
        <c:axId val="633410456"/>
      </c:lineChart>
      <c:dateAx>
        <c:axId val="751882712"/>
        <c:scaling>
          <c:orientation val="minMax"/>
        </c:scaling>
        <c:delete val="0"/>
        <c:axPos val="b"/>
        <c:numFmt formatCode="[$-409]mmm\-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0"/>
        <c:lblOffset val="100"/>
        <c:baseTimeUnit val="months"/>
        <c:majorUnit val="6"/>
        <c:majorTimeUnit val="months"/>
      </c:dateAx>
      <c:valAx>
        <c:axId val="751885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valAx>
        <c:axId val="633410456"/>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Carbon Beta</a:t>
                </a:r>
              </a:p>
            </c:rich>
          </c:tx>
          <c:layout>
            <c:manualLayout>
              <c:xMode val="edge"/>
              <c:yMode val="edge"/>
              <c:x val="0.96156175380227438"/>
              <c:y val="0.356979525763134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633410784"/>
        <c:crosses val="max"/>
        <c:crossBetween val="between"/>
      </c:valAx>
      <c:dateAx>
        <c:axId val="633410784"/>
        <c:scaling>
          <c:orientation val="minMax"/>
        </c:scaling>
        <c:delete val="1"/>
        <c:axPos val="b"/>
        <c:numFmt formatCode="[$-409]mmm\-yy;@" sourceLinked="1"/>
        <c:majorTickMark val="out"/>
        <c:minorTickMark val="none"/>
        <c:tickLblPos val="nextTo"/>
        <c:crossAx val="633410456"/>
        <c:crosses val="autoZero"/>
        <c:auto val="0"/>
        <c:lblOffset val="100"/>
        <c:baseTimeUnit val="months"/>
      </c:dateAx>
      <c:spPr>
        <a:noFill/>
        <a:ln>
          <a:no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44673307378336E-2"/>
          <c:y val="5.6168650793650785E-2"/>
          <c:w val="0.86227183475152414"/>
          <c:h val="0.65560090941809535"/>
        </c:manualLayout>
      </c:layout>
      <c:lineChart>
        <c:grouping val="standard"/>
        <c:varyColors val="0"/>
        <c:ser>
          <c:idx val="0"/>
          <c:order val="0"/>
          <c:tx>
            <c:v>BMG cumulated</c:v>
          </c:tx>
          <c:spPr>
            <a:ln w="28575" cap="rnd">
              <a:solidFill>
                <a:srgbClr val="5E838C"/>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AC!$N$2:$N$109</c:f>
              <c:numCache>
                <c:formatCode>0.00%</c:formatCode>
                <c:ptCount val="108"/>
                <c:pt idx="0">
                  <c:v>-1.3868199999999997E-2</c:v>
                </c:pt>
                <c:pt idx="1">
                  <c:v>-2.4751234750598483E-3</c:v>
                </c:pt>
                <c:pt idx="2">
                  <c:v>5.7604419055301559E-3</c:v>
                </c:pt>
                <c:pt idx="3">
                  <c:v>1.0963743551728466E-2</c:v>
                </c:pt>
                <c:pt idx="4">
                  <c:v>1.4039499645110309E-2</c:v>
                </c:pt>
                <c:pt idx="5">
                  <c:v>-4.6000674176163159E-3</c:v>
                </c:pt>
                <c:pt idx="6">
                  <c:v>9.1403337117577088E-3</c:v>
                </c:pt>
                <c:pt idx="7">
                  <c:v>3.6278640136101048E-2</c:v>
                </c:pt>
                <c:pt idx="8">
                  <c:v>9.4622359981151316E-3</c:v>
                </c:pt>
                <c:pt idx="9">
                  <c:v>1.0179357970568237E-2</c:v>
                </c:pt>
                <c:pt idx="10">
                  <c:v>3.8083037286110288E-2</c:v>
                </c:pt>
                <c:pt idx="11">
                  <c:v>5.6694620445005395E-2</c:v>
                </c:pt>
                <c:pt idx="12">
                  <c:v>4.2648401533278202E-2</c:v>
                </c:pt>
                <c:pt idx="13">
                  <c:v>6.6335809243512012E-2</c:v>
                </c:pt>
                <c:pt idx="14">
                  <c:v>6.7388176053654547E-2</c:v>
                </c:pt>
                <c:pt idx="15">
                  <c:v>4.4674155667232762E-2</c:v>
                </c:pt>
                <c:pt idx="16">
                  <c:v>3.3622652241844797E-2</c:v>
                </c:pt>
                <c:pt idx="17">
                  <c:v>2.9455292432536195E-2</c:v>
                </c:pt>
                <c:pt idx="18">
                  <c:v>5.9344703284080813E-2</c:v>
                </c:pt>
                <c:pt idx="19">
                  <c:v>6.7320403620636293E-2</c:v>
                </c:pt>
                <c:pt idx="20">
                  <c:v>3.6277923341532015E-2</c:v>
                </c:pt>
                <c:pt idx="21">
                  <c:v>7.5530783916408994E-2</c:v>
                </c:pt>
                <c:pt idx="22">
                  <c:v>8.2268876724566731E-2</c:v>
                </c:pt>
                <c:pt idx="23">
                  <c:v>8.3281447485630267E-2</c:v>
                </c:pt>
                <c:pt idx="24">
                  <c:v>9.8428430325098182E-2</c:v>
                </c:pt>
                <c:pt idx="25">
                  <c:v>8.8548396122853035E-2</c:v>
                </c:pt>
                <c:pt idx="26">
                  <c:v>3.7352223375761495E-2</c:v>
                </c:pt>
                <c:pt idx="27">
                  <c:v>5.1098281422935932E-2</c:v>
                </c:pt>
                <c:pt idx="28">
                  <c:v>4.3835822957272397E-2</c:v>
                </c:pt>
                <c:pt idx="29">
                  <c:v>3.9636680208679831E-2</c:v>
                </c:pt>
                <c:pt idx="30">
                  <c:v>5.8749049046632251E-2</c:v>
                </c:pt>
                <c:pt idx="31">
                  <c:v>3.9804958186945738E-2</c:v>
                </c:pt>
                <c:pt idx="32">
                  <c:v>5.1029132808094735E-2</c:v>
                </c:pt>
                <c:pt idx="33">
                  <c:v>5.5953519604040602E-2</c:v>
                </c:pt>
                <c:pt idx="34">
                  <c:v>2.2801436474664039E-2</c:v>
                </c:pt>
                <c:pt idx="35">
                  <c:v>3.136238677810077E-2</c:v>
                </c:pt>
                <c:pt idx="36">
                  <c:v>5.930124818778193E-3</c:v>
                </c:pt>
                <c:pt idx="37">
                  <c:v>-3.243354361494144E-3</c:v>
                </c:pt>
                <c:pt idx="38">
                  <c:v>-1.813679248496014E-2</c:v>
                </c:pt>
                <c:pt idx="39">
                  <c:v>-4.581590905009203E-2</c:v>
                </c:pt>
                <c:pt idx="40">
                  <c:v>-6.7600218101705689E-2</c:v>
                </c:pt>
                <c:pt idx="41">
                  <c:v>-8.4486257871818404E-2</c:v>
                </c:pt>
                <c:pt idx="42">
                  <c:v>-8.8461876297010078E-2</c:v>
                </c:pt>
                <c:pt idx="43">
                  <c:v>-8.1866989125831235E-2</c:v>
                </c:pt>
                <c:pt idx="44">
                  <c:v>-9.9564645603538504E-2</c:v>
                </c:pt>
                <c:pt idx="45">
                  <c:v>-9.5353129363955458E-2</c:v>
                </c:pt>
                <c:pt idx="46">
                  <c:v>-0.11609903418950362</c:v>
                </c:pt>
                <c:pt idx="47">
                  <c:v>-0.11630524828482725</c:v>
                </c:pt>
                <c:pt idx="48">
                  <c:v>-0.11918096774585873</c:v>
                </c:pt>
                <c:pt idx="49">
                  <c:v>-0.12209656682452319</c:v>
                </c:pt>
                <c:pt idx="50">
                  <c:v>-0.11058593596044297</c:v>
                </c:pt>
                <c:pt idx="51">
                  <c:v>-0.10572599963171803</c:v>
                </c:pt>
                <c:pt idx="52">
                  <c:v>-0.11032381997721152</c:v>
                </c:pt>
                <c:pt idx="53">
                  <c:v>-9.1921135096294293E-2</c:v>
                </c:pt>
                <c:pt idx="54">
                  <c:v>-8.983736652499974E-2</c:v>
                </c:pt>
                <c:pt idx="55">
                  <c:v>-8.841523741019508E-2</c:v>
                </c:pt>
                <c:pt idx="56">
                  <c:v>-0.12471682161842756</c:v>
                </c:pt>
                <c:pt idx="57">
                  <c:v>-0.13330965163723507</c:v>
                </c:pt>
                <c:pt idx="58">
                  <c:v>-0.1789946332801331</c:v>
                </c:pt>
                <c:pt idx="59">
                  <c:v>-0.17607029426441356</c:v>
                </c:pt>
                <c:pt idx="60">
                  <c:v>-0.18272970611102146</c:v>
                </c:pt>
                <c:pt idx="61">
                  <c:v>-0.18597410572370199</c:v>
                </c:pt>
                <c:pt idx="62">
                  <c:v>-0.20405378364075744</c:v>
                </c:pt>
                <c:pt idx="63">
                  <c:v>-0.17485879480318689</c:v>
                </c:pt>
                <c:pt idx="64">
                  <c:v>-0.1984769765477763</c:v>
                </c:pt>
                <c:pt idx="65">
                  <c:v>-0.2117579725894726</c:v>
                </c:pt>
                <c:pt idx="66">
                  <c:v>-0.24628573223714967</c:v>
                </c:pt>
                <c:pt idx="67">
                  <c:v>-0.24796372631147012</c:v>
                </c:pt>
                <c:pt idx="68">
                  <c:v>-0.25689460828328559</c:v>
                </c:pt>
                <c:pt idx="69">
                  <c:v>-0.25690895021734572</c:v>
                </c:pt>
                <c:pt idx="70">
                  <c:v>-0.27436735426825432</c:v>
                </c:pt>
                <c:pt idx="71">
                  <c:v>-0.28888784401546308</c:v>
                </c:pt>
                <c:pt idx="72">
                  <c:v>-0.2849486382273867</c:v>
                </c:pt>
                <c:pt idx="73">
                  <c:v>-0.26341057615943375</c:v>
                </c:pt>
                <c:pt idx="74">
                  <c:v>-0.24907013764350894</c:v>
                </c:pt>
                <c:pt idx="75">
                  <c:v>-0.2217317850745586</c:v>
                </c:pt>
                <c:pt idx="76">
                  <c:v>-0.23773414697574802</c:v>
                </c:pt>
                <c:pt idx="77">
                  <c:v>-0.21786530638374435</c:v>
                </c:pt>
                <c:pt idx="78">
                  <c:v>-0.22400858333475326</c:v>
                </c:pt>
                <c:pt idx="79">
                  <c:v>-0.23042370437632487</c:v>
                </c:pt>
                <c:pt idx="80">
                  <c:v>-0.22388684636366774</c:v>
                </c:pt>
                <c:pt idx="81">
                  <c:v>-0.21729337706695029</c:v>
                </c:pt>
                <c:pt idx="82">
                  <c:v>-0.1945812659066527</c:v>
                </c:pt>
                <c:pt idx="83">
                  <c:v>-0.20142877490016753</c:v>
                </c:pt>
                <c:pt idx="84">
                  <c:v>-0.16771748991819058</c:v>
                </c:pt>
                <c:pt idx="85">
                  <c:v>-0.17889862284338265</c:v>
                </c:pt>
                <c:pt idx="86">
                  <c:v>-0.19419779425325334</c:v>
                </c:pt>
                <c:pt idx="87">
                  <c:v>-0.20906822931854496</c:v>
                </c:pt>
                <c:pt idx="88">
                  <c:v>-0.22288216906620484</c:v>
                </c:pt>
                <c:pt idx="89">
                  <c:v>-0.21459156519867084</c:v>
                </c:pt>
                <c:pt idx="90">
                  <c:v>-0.21101512934995958</c:v>
                </c:pt>
                <c:pt idx="91">
                  <c:v>-0.20786108343104903</c:v>
                </c:pt>
                <c:pt idx="92">
                  <c:v>-0.20910537524119555</c:v>
                </c:pt>
                <c:pt idx="93">
                  <c:v>-0.21991650931433604</c:v>
                </c:pt>
                <c:pt idx="94">
                  <c:v>-0.21185731075536429</c:v>
                </c:pt>
                <c:pt idx="95">
                  <c:v>-0.20454043047122394</c:v>
                </c:pt>
                <c:pt idx="96">
                  <c:v>-0.20818419212136441</c:v>
                </c:pt>
                <c:pt idx="97">
                  <c:v>-0.21082331420902389</c:v>
                </c:pt>
                <c:pt idx="98">
                  <c:v>-0.20098512197327922</c:v>
                </c:pt>
                <c:pt idx="99">
                  <c:v>-0.19085017755592482</c:v>
                </c:pt>
                <c:pt idx="100">
                  <c:v>-0.18992831316321435</c:v>
                </c:pt>
                <c:pt idx="101">
                  <c:v>-0.1862565012282893</c:v>
                </c:pt>
                <c:pt idx="102">
                  <c:v>-0.19534560923781996</c:v>
                </c:pt>
                <c:pt idx="103">
                  <c:v>-0.21413911718846146</c:v>
                </c:pt>
                <c:pt idx="104">
                  <c:v>-0.21634785778569154</c:v>
                </c:pt>
                <c:pt idx="105">
                  <c:v>-0.22100761015372627</c:v>
                </c:pt>
                <c:pt idx="106">
                  <c:v>-0.21871051739454761</c:v>
                </c:pt>
                <c:pt idx="107">
                  <c:v>-0.20553922678099179</c:v>
                </c:pt>
              </c:numCache>
            </c:numRef>
          </c:val>
          <c:smooth val="0"/>
          <c:extLst>
            <c:ext xmlns:c16="http://schemas.microsoft.com/office/drawing/2014/chart" uri="{C3380CC4-5D6E-409C-BE32-E72D297353CC}">
              <c16:uniqueId val="{00000000-4899-4160-A2AA-3EEA2B5DF1B0}"/>
            </c:ext>
          </c:extLst>
        </c:ser>
        <c:dLbls>
          <c:showLegendKey val="0"/>
          <c:showVal val="0"/>
          <c:showCatName val="0"/>
          <c:showSerName val="0"/>
          <c:showPercent val="0"/>
          <c:showBubbleSize val="0"/>
        </c:dLbls>
        <c:smooth val="0"/>
        <c:axId val="751882712"/>
        <c:axId val="751885336"/>
      </c:lineChart>
      <c:dateAx>
        <c:axId val="751882712"/>
        <c:scaling>
          <c:orientation val="minMax"/>
        </c:scaling>
        <c:delete val="0"/>
        <c:axPos val="b"/>
        <c:numFmt formatCode="[$-407]mmm/\ yy;@" sourceLinked="0"/>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0"/>
        <c:lblOffset val="100"/>
        <c:baseTimeUnit val="months"/>
        <c:majorUnit val="6"/>
        <c:majorTimeUnit val="months"/>
      </c:dateAx>
      <c:valAx>
        <c:axId val="751885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Cumulated 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spPr>
        <a:noFill/>
        <a:ln>
          <a:noFill/>
        </a:ln>
        <a:effectLst/>
      </c:spPr>
    </c:plotArea>
    <c:legend>
      <c:legendPos val="b"/>
      <c:layout>
        <c:manualLayout>
          <c:xMode val="edge"/>
          <c:yMode val="edge"/>
          <c:x val="0.41070673032132576"/>
          <c:y val="0.89519044233183231"/>
          <c:w val="0.1785865393573485"/>
          <c:h val="9.143163124676305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44797575099104E-2"/>
          <c:y val="8.6406652204902054E-2"/>
          <c:w val="0.76087085031985668"/>
          <c:h val="0.72706638507402765"/>
        </c:manualLayout>
      </c:layout>
      <c:barChart>
        <c:barDir val="col"/>
        <c:grouping val="clustered"/>
        <c:varyColors val="0"/>
        <c:ser>
          <c:idx val="0"/>
          <c:order val="0"/>
          <c:tx>
            <c:strRef>
              <c:f>AC!$AM$1</c:f>
              <c:strCache>
                <c:ptCount val="1"/>
                <c:pt idx="0">
                  <c:v>Philips Bond</c:v>
                </c:pt>
              </c:strCache>
            </c:strRef>
          </c:tx>
          <c:spPr>
            <a:solidFill>
              <a:srgbClr val="5E838C"/>
            </a:solidFill>
            <a:ln>
              <a:solidFill>
                <a:srgbClr val="5E838C"/>
              </a:solidFill>
            </a:ln>
            <a:effectLst/>
          </c:spPr>
          <c:invertIfNegative val="0"/>
          <c:cat>
            <c:numRef>
              <c:f>AC!$AL$2:$AL$109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AC!$AM$2:$AM$109</c:f>
              <c:numCache>
                <c:formatCode>0.00%</c:formatCode>
                <c:ptCount val="108"/>
                <c:pt idx="0">
                  <c:v>3.8100627151412159E-2</c:v>
                </c:pt>
                <c:pt idx="1">
                  <c:v>2.7355086178615373E-3</c:v>
                </c:pt>
                <c:pt idx="2">
                  <c:v>-3.9259702934913987E-3</c:v>
                </c:pt>
                <c:pt idx="3">
                  <c:v>2.3466752906815103E-2</c:v>
                </c:pt>
                <c:pt idx="4">
                  <c:v>1.4643948632622639E-2</c:v>
                </c:pt>
                <c:pt idx="5">
                  <c:v>3.5954979635730133E-2</c:v>
                </c:pt>
                <c:pt idx="6">
                  <c:v>-1.96809709905299E-3</c:v>
                </c:pt>
                <c:pt idx="7">
                  <c:v>4.9492415649693866E-2</c:v>
                </c:pt>
                <c:pt idx="8">
                  <c:v>-1.1202145358822913E-2</c:v>
                </c:pt>
                <c:pt idx="9">
                  <c:v>3.0885054082858687E-3</c:v>
                </c:pt>
                <c:pt idx="10">
                  <c:v>-3.3407783846348571E-2</c:v>
                </c:pt>
                <c:pt idx="11">
                  <c:v>-2.0118154986037529E-2</c:v>
                </c:pt>
                <c:pt idx="12">
                  <c:v>-1.666937170025673E-2</c:v>
                </c:pt>
                <c:pt idx="13">
                  <c:v>1.1883841276930429E-2</c:v>
                </c:pt>
                <c:pt idx="14">
                  <c:v>-1.727099145085953E-3</c:v>
                </c:pt>
                <c:pt idx="15">
                  <c:v>1.4354917772801068E-2</c:v>
                </c:pt>
                <c:pt idx="16">
                  <c:v>2.2850347516688796E-2</c:v>
                </c:pt>
                <c:pt idx="17">
                  <c:v>-2.0195282826598437E-2</c:v>
                </c:pt>
                <c:pt idx="18">
                  <c:v>5.0956829226783684E-2</c:v>
                </c:pt>
                <c:pt idx="19">
                  <c:v>6.9861590294677312E-2</c:v>
                </c:pt>
                <c:pt idx="20">
                  <c:v>2.9300964505848404E-2</c:v>
                </c:pt>
                <c:pt idx="21">
                  <c:v>-2.477012879323226E-2</c:v>
                </c:pt>
                <c:pt idx="22">
                  <c:v>1.71897447926046E-2</c:v>
                </c:pt>
                <c:pt idx="23">
                  <c:v>1.8043985818464892E-2</c:v>
                </c:pt>
                <c:pt idx="24">
                  <c:v>-8.0895349730880639E-5</c:v>
                </c:pt>
                <c:pt idx="25">
                  <c:v>-9.1500042473494636E-3</c:v>
                </c:pt>
                <c:pt idx="26">
                  <c:v>-2.0326514282448249E-2</c:v>
                </c:pt>
                <c:pt idx="27">
                  <c:v>2.329855149767468E-2</c:v>
                </c:pt>
                <c:pt idx="28">
                  <c:v>4.5324417766520186E-2</c:v>
                </c:pt>
                <c:pt idx="29">
                  <c:v>-9.6223893912181779E-3</c:v>
                </c:pt>
                <c:pt idx="30">
                  <c:v>2.1296263516676239E-2</c:v>
                </c:pt>
                <c:pt idx="31">
                  <c:v>-5.538501831403031E-3</c:v>
                </c:pt>
                <c:pt idx="32">
                  <c:v>2.7203823407526695E-2</c:v>
                </c:pt>
                <c:pt idx="33">
                  <c:v>1.0406337308603852E-3</c:v>
                </c:pt>
                <c:pt idx="34">
                  <c:v>6.7269556570834776E-3</c:v>
                </c:pt>
                <c:pt idx="35">
                  <c:v>-6.1507379763174885E-3</c:v>
                </c:pt>
                <c:pt idx="36">
                  <c:v>-7.9543443971374916E-3</c:v>
                </c:pt>
                <c:pt idx="37">
                  <c:v>1.4882669014298244E-2</c:v>
                </c:pt>
                <c:pt idx="38">
                  <c:v>1.0472985604785823E-2</c:v>
                </c:pt>
                <c:pt idx="39">
                  <c:v>1.9307976658735848E-2</c:v>
                </c:pt>
                <c:pt idx="40">
                  <c:v>-3.5125549517368571E-2</c:v>
                </c:pt>
                <c:pt idx="41">
                  <c:v>-2.9120405729270549E-2</c:v>
                </c:pt>
                <c:pt idx="42">
                  <c:v>-6.2002766873472392E-3</c:v>
                </c:pt>
                <c:pt idx="43">
                  <c:v>-2.2417363025583503E-2</c:v>
                </c:pt>
                <c:pt idx="44">
                  <c:v>1.6545408130703931E-2</c:v>
                </c:pt>
                <c:pt idx="45">
                  <c:v>1.0280476511857817E-2</c:v>
                </c:pt>
                <c:pt idx="46">
                  <c:v>2.9723620432513087E-2</c:v>
                </c:pt>
                <c:pt idx="47">
                  <c:v>-5.175294672324382E-2</c:v>
                </c:pt>
                <c:pt idx="48">
                  <c:v>5.6160602058837661E-2</c:v>
                </c:pt>
                <c:pt idx="49">
                  <c:v>4.2482195516018173E-3</c:v>
                </c:pt>
                <c:pt idx="50">
                  <c:v>-1.8938612643493169E-3</c:v>
                </c:pt>
                <c:pt idx="51">
                  <c:v>1.0156079745703428E-2</c:v>
                </c:pt>
                <c:pt idx="52">
                  <c:v>2.023812623442911E-2</c:v>
                </c:pt>
                <c:pt idx="53">
                  <c:v>-1.487476758175732E-3</c:v>
                </c:pt>
                <c:pt idx="54">
                  <c:v>3.8228142046574654E-3</c:v>
                </c:pt>
                <c:pt idx="55">
                  <c:v>2.9854980740482207E-2</c:v>
                </c:pt>
                <c:pt idx="56">
                  <c:v>-1.0086989690503145E-2</c:v>
                </c:pt>
                <c:pt idx="57">
                  <c:v>1.7910596865288619E-2</c:v>
                </c:pt>
                <c:pt idx="58">
                  <c:v>1.539426780838471E-2</c:v>
                </c:pt>
                <c:pt idx="59">
                  <c:v>6.5552153486621023E-3</c:v>
                </c:pt>
                <c:pt idx="60">
                  <c:v>4.4990946253669506E-2</c:v>
                </c:pt>
                <c:pt idx="61">
                  <c:v>-2.3133395249925415E-2</c:v>
                </c:pt>
                <c:pt idx="62">
                  <c:v>8.3383166141464127E-3</c:v>
                </c:pt>
                <c:pt idx="63">
                  <c:v>-5.4040727117650178E-3</c:v>
                </c:pt>
                <c:pt idx="64">
                  <c:v>-1.116835610105793E-2</c:v>
                </c:pt>
                <c:pt idx="65">
                  <c:v>-1.7991923790939945E-2</c:v>
                </c:pt>
                <c:pt idx="66">
                  <c:v>1.5575571708000169E-2</c:v>
                </c:pt>
                <c:pt idx="67">
                  <c:v>-4.2494361259816094E-3</c:v>
                </c:pt>
                <c:pt idx="68">
                  <c:v>1.4259349596269288E-2</c:v>
                </c:pt>
                <c:pt idx="69">
                  <c:v>-3.4407256803253849E-3</c:v>
                </c:pt>
                <c:pt idx="70">
                  <c:v>5.7745917960971838E-3</c:v>
                </c:pt>
                <c:pt idx="71">
                  <c:v>-2.2959038149854671E-2</c:v>
                </c:pt>
                <c:pt idx="72">
                  <c:v>2.926155780016293E-2</c:v>
                </c:pt>
                <c:pt idx="73">
                  <c:v>9.806898530800412E-3</c:v>
                </c:pt>
                <c:pt idx="74">
                  <c:v>1.1532386510082482E-3</c:v>
                </c:pt>
                <c:pt idx="75">
                  <c:v>-8.8324119151746983E-3</c:v>
                </c:pt>
                <c:pt idx="76">
                  <c:v>-6.4202677997595714E-3</c:v>
                </c:pt>
                <c:pt idx="77">
                  <c:v>3.1980319803198043E-2</c:v>
                </c:pt>
                <c:pt idx="78">
                  <c:v>2.7377863227597832E-3</c:v>
                </c:pt>
                <c:pt idx="79">
                  <c:v>-6.8079648654599811E-3</c:v>
                </c:pt>
                <c:pt idx="80">
                  <c:v>2.1121524584710949E-2</c:v>
                </c:pt>
                <c:pt idx="81">
                  <c:v>-6.6904905614582066E-3</c:v>
                </c:pt>
                <c:pt idx="82">
                  <c:v>-5.2064712766367927E-2</c:v>
                </c:pt>
                <c:pt idx="83">
                  <c:v>2.1214752308015727E-2</c:v>
                </c:pt>
                <c:pt idx="84">
                  <c:v>4.7825119479760758E-4</c:v>
                </c:pt>
                <c:pt idx="85">
                  <c:v>1.6249448116292475E-2</c:v>
                </c:pt>
                <c:pt idx="86">
                  <c:v>1.2017534690464293E-2</c:v>
                </c:pt>
                <c:pt idx="87">
                  <c:v>8.0919258267031502E-3</c:v>
                </c:pt>
                <c:pt idx="88">
                  <c:v>1.4312152201894079E-2</c:v>
                </c:pt>
                <c:pt idx="89">
                  <c:v>1.8939872218995513E-2</c:v>
                </c:pt>
                <c:pt idx="90">
                  <c:v>2.0756400406463094E-4</c:v>
                </c:pt>
                <c:pt idx="91">
                  <c:v>2.3391015892386458E-2</c:v>
                </c:pt>
                <c:pt idx="92">
                  <c:v>-4.8333741915371764E-3</c:v>
                </c:pt>
                <c:pt idx="93">
                  <c:v>4.4097879044069366E-4</c:v>
                </c:pt>
                <c:pt idx="94">
                  <c:v>-1.0682182278034635E-2</c:v>
                </c:pt>
                <c:pt idx="95">
                  <c:v>4.4861650970218214E-4</c:v>
                </c:pt>
                <c:pt idx="96">
                  <c:v>-1.8213034144064166E-2</c:v>
                </c:pt>
                <c:pt idx="97">
                  <c:v>-9.4631500245572209E-3</c:v>
                </c:pt>
                <c:pt idx="98">
                  <c:v>1.4410869263128623E-2</c:v>
                </c:pt>
                <c:pt idx="99">
                  <c:v>1.634500730076871E-3</c:v>
                </c:pt>
                <c:pt idx="100">
                  <c:v>1.2725193022590675E-2</c:v>
                </c:pt>
                <c:pt idx="101">
                  <c:v>-2.283483417122445E-2</c:v>
                </c:pt>
                <c:pt idx="102">
                  <c:v>-5.9677490278853274E-4</c:v>
                </c:pt>
                <c:pt idx="103">
                  <c:v>7.1027191471717543E-4</c:v>
                </c:pt>
                <c:pt idx="104">
                  <c:v>2.1380969429736219E-2</c:v>
                </c:pt>
                <c:pt idx="105">
                  <c:v>-1.7188259096861946E-3</c:v>
                </c:pt>
                <c:pt idx="106">
                  <c:v>-6.2834385193266673E-4</c:v>
                </c:pt>
                <c:pt idx="107">
                  <c:v>2.4265007289056451E-2</c:v>
                </c:pt>
              </c:numCache>
            </c:numRef>
          </c:val>
          <c:extLst>
            <c:ext xmlns:c16="http://schemas.microsoft.com/office/drawing/2014/chart" uri="{C3380CC4-5D6E-409C-BE32-E72D297353CC}">
              <c16:uniqueId val="{00000000-82BB-4A6C-A61B-046C810460D1}"/>
            </c:ext>
          </c:extLst>
        </c:ser>
        <c:ser>
          <c:idx val="1"/>
          <c:order val="1"/>
          <c:tx>
            <c:strRef>
              <c:f>AC!$AN$1</c:f>
              <c:strCache>
                <c:ptCount val="1"/>
                <c:pt idx="0">
                  <c:v>IBM Bond</c:v>
                </c:pt>
              </c:strCache>
            </c:strRef>
          </c:tx>
          <c:spPr>
            <a:solidFill>
              <a:srgbClr val="8B4513"/>
            </a:solidFill>
            <a:ln>
              <a:solidFill>
                <a:srgbClr val="8B4513"/>
              </a:solidFill>
            </a:ln>
            <a:effectLst/>
          </c:spPr>
          <c:invertIfNegative val="0"/>
          <c:cat>
            <c:numRef>
              <c:f>AC!$AL$2:$AL$109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AC!$AN$2:$AN$109</c:f>
              <c:numCache>
                <c:formatCode>0.00%</c:formatCode>
                <c:ptCount val="108"/>
                <c:pt idx="0">
                  <c:v>-6.4581987875250713E-3</c:v>
                </c:pt>
                <c:pt idx="1">
                  <c:v>-6.4931887917356601E-3</c:v>
                </c:pt>
                <c:pt idx="2">
                  <c:v>2.5952555155335455E-2</c:v>
                </c:pt>
                <c:pt idx="3">
                  <c:v>3.4100649372913017E-2</c:v>
                </c:pt>
                <c:pt idx="4">
                  <c:v>1.709481055130424E-2</c:v>
                </c:pt>
                <c:pt idx="5">
                  <c:v>3.2910864236165516E-2</c:v>
                </c:pt>
                <c:pt idx="6">
                  <c:v>-1.0938446778428479E-2</c:v>
                </c:pt>
                <c:pt idx="7">
                  <c:v>9.5916374705645957E-2</c:v>
                </c:pt>
                <c:pt idx="8">
                  <c:v>-1.7253929155821246E-2</c:v>
                </c:pt>
                <c:pt idx="9">
                  <c:v>-3.7495704111017658E-2</c:v>
                </c:pt>
                <c:pt idx="10">
                  <c:v>1.8480897326980106E-2</c:v>
                </c:pt>
                <c:pt idx="11">
                  <c:v>-2.6057785299806624E-2</c:v>
                </c:pt>
                <c:pt idx="12">
                  <c:v>-2.8629234960807826E-2</c:v>
                </c:pt>
                <c:pt idx="13">
                  <c:v>6.261340693602957E-4</c:v>
                </c:pt>
                <c:pt idx="14">
                  <c:v>1.5426462512929895E-2</c:v>
                </c:pt>
                <c:pt idx="15">
                  <c:v>7.5268817204301453E-3</c:v>
                </c:pt>
                <c:pt idx="16">
                  <c:v>3.0406860266996016E-2</c:v>
                </c:pt>
                <c:pt idx="17">
                  <c:v>-4.2350347367337116E-2</c:v>
                </c:pt>
                <c:pt idx="18">
                  <c:v>3.1782274029612978E-2</c:v>
                </c:pt>
                <c:pt idx="19">
                  <c:v>6.9005467964593059E-2</c:v>
                </c:pt>
                <c:pt idx="20">
                  <c:v>1.9743217748825703E-2</c:v>
                </c:pt>
                <c:pt idx="21">
                  <c:v>2.6845562103558374E-2</c:v>
                </c:pt>
                <c:pt idx="22">
                  <c:v>3.0174254953287516E-2</c:v>
                </c:pt>
                <c:pt idx="23">
                  <c:v>2.8227264028577892E-2</c:v>
                </c:pt>
                <c:pt idx="24">
                  <c:v>-1.9387259210240648E-3</c:v>
                </c:pt>
                <c:pt idx="25">
                  <c:v>-1.9057140341153245E-2</c:v>
                </c:pt>
                <c:pt idx="26">
                  <c:v>-1.2779080328665371E-2</c:v>
                </c:pt>
                <c:pt idx="27">
                  <c:v>2.8044631777140561E-2</c:v>
                </c:pt>
                <c:pt idx="28">
                  <c:v>9.0694346887276067E-2</c:v>
                </c:pt>
                <c:pt idx="29">
                  <c:v>-2.170055241239166E-2</c:v>
                </c:pt>
                <c:pt idx="30">
                  <c:v>2.7180034816191023E-2</c:v>
                </c:pt>
                <c:pt idx="31">
                  <c:v>-8.5401920712457891E-3</c:v>
                </c:pt>
                <c:pt idx="32">
                  <c:v>-2.1263861490433467E-2</c:v>
                </c:pt>
                <c:pt idx="33">
                  <c:v>-4.4028941691087731E-5</c:v>
                </c:pt>
                <c:pt idx="34">
                  <c:v>9.8286709523391913E-3</c:v>
                </c:pt>
                <c:pt idx="35">
                  <c:v>-1.9146266429599157E-2</c:v>
                </c:pt>
                <c:pt idx="36">
                  <c:v>-2.73932005986397E-2</c:v>
                </c:pt>
                <c:pt idx="37">
                  <c:v>1.2822921797951192E-2</c:v>
                </c:pt>
                <c:pt idx="38">
                  <c:v>-1.7649595362968507E-3</c:v>
                </c:pt>
                <c:pt idx="39">
                  <c:v>2.1483178124026781E-2</c:v>
                </c:pt>
                <c:pt idx="40">
                  <c:v>-4.9050220541593137E-2</c:v>
                </c:pt>
                <c:pt idx="41">
                  <c:v>-1.2994601526464922E-2</c:v>
                </c:pt>
                <c:pt idx="42">
                  <c:v>-1.3673870333988258E-2</c:v>
                </c:pt>
                <c:pt idx="43">
                  <c:v>-1.1143866358590215E-2</c:v>
                </c:pt>
                <c:pt idx="44">
                  <c:v>1.8048311462288691E-3</c:v>
                </c:pt>
                <c:pt idx="45">
                  <c:v>1.8069414433012909E-3</c:v>
                </c:pt>
                <c:pt idx="46">
                  <c:v>-2.1740526653821535E-2</c:v>
                </c:pt>
                <c:pt idx="47">
                  <c:v>-9.3939095514776749E-3</c:v>
                </c:pt>
                <c:pt idx="48">
                  <c:v>5.4975947332666752E-2</c:v>
                </c:pt>
                <c:pt idx="49">
                  <c:v>7.7219066565454852E-3</c:v>
                </c:pt>
                <c:pt idx="50">
                  <c:v>9.3563301989714187E-3</c:v>
                </c:pt>
                <c:pt idx="51">
                  <c:v>1.3330519684390918E-2</c:v>
                </c:pt>
                <c:pt idx="52">
                  <c:v>2.1723782386314561E-2</c:v>
                </c:pt>
                <c:pt idx="53">
                  <c:v>-9.9971166943397805E-3</c:v>
                </c:pt>
                <c:pt idx="54">
                  <c:v>9.5457124636575408E-3</c:v>
                </c:pt>
                <c:pt idx="55">
                  <c:v>3.2370379212924405E-2</c:v>
                </c:pt>
                <c:pt idx="56">
                  <c:v>-1.034901424193968E-2</c:v>
                </c:pt>
                <c:pt idx="57">
                  <c:v>1.286707431064027E-2</c:v>
                </c:pt>
                <c:pt idx="58">
                  <c:v>1.6774733118321894E-2</c:v>
                </c:pt>
                <c:pt idx="59">
                  <c:v>2.1783011331136803E-2</c:v>
                </c:pt>
                <c:pt idx="60">
                  <c:v>7.132579840757991E-2</c:v>
                </c:pt>
                <c:pt idx="61">
                  <c:v>-4.1487092232883938E-2</c:v>
                </c:pt>
                <c:pt idx="62">
                  <c:v>-1.2506814321563975E-2</c:v>
                </c:pt>
                <c:pt idx="63">
                  <c:v>-1.7889161111947494E-2</c:v>
                </c:pt>
                <c:pt idx="64">
                  <c:v>-1.479127760589416E-2</c:v>
                </c:pt>
                <c:pt idx="65">
                  <c:v>-2.9375984307660308E-2</c:v>
                </c:pt>
                <c:pt idx="66">
                  <c:v>4.1598655318487276E-2</c:v>
                </c:pt>
                <c:pt idx="67">
                  <c:v>6.3382942106515738E-3</c:v>
                </c:pt>
                <c:pt idx="68">
                  <c:v>7.4477452843304537E-3</c:v>
                </c:pt>
                <c:pt idx="69">
                  <c:v>-3.5114110508471463E-2</c:v>
                </c:pt>
                <c:pt idx="70">
                  <c:v>-5.7689373712721537E-4</c:v>
                </c:pt>
                <c:pt idx="71">
                  <c:v>6.1062001784155662E-3</c:v>
                </c:pt>
                <c:pt idx="72">
                  <c:v>2.7846924889641356E-2</c:v>
                </c:pt>
                <c:pt idx="73">
                  <c:v>2.1958150348746486E-3</c:v>
                </c:pt>
                <c:pt idx="74">
                  <c:v>6.4717470955386602E-3</c:v>
                </c:pt>
                <c:pt idx="75">
                  <c:v>1.7932113163021901E-2</c:v>
                </c:pt>
                <c:pt idx="76">
                  <c:v>1.541475161627992E-2</c:v>
                </c:pt>
                <c:pt idx="77">
                  <c:v>4.0962789257112497E-2</c:v>
                </c:pt>
                <c:pt idx="78">
                  <c:v>1.5437713586208046E-2</c:v>
                </c:pt>
                <c:pt idx="79">
                  <c:v>1.3227291753872272E-3</c:v>
                </c:pt>
                <c:pt idx="80">
                  <c:v>-3.5281920941743206E-3</c:v>
                </c:pt>
                <c:pt idx="81">
                  <c:v>-3.2105280821573046E-2</c:v>
                </c:pt>
                <c:pt idx="82">
                  <c:v>-3.287982350825025E-2</c:v>
                </c:pt>
                <c:pt idx="83">
                  <c:v>-5.1314686756329664E-3</c:v>
                </c:pt>
                <c:pt idx="84">
                  <c:v>8.2572030920591288E-3</c:v>
                </c:pt>
                <c:pt idx="85">
                  <c:v>1.6776799317311575E-2</c:v>
                </c:pt>
                <c:pt idx="86">
                  <c:v>-8.968432523640435E-3</c:v>
                </c:pt>
                <c:pt idx="87">
                  <c:v>1.5877801671581038E-2</c:v>
                </c:pt>
                <c:pt idx="88">
                  <c:v>5.1061471045234619E-2</c:v>
                </c:pt>
                <c:pt idx="89">
                  <c:v>4.9706206008761633E-3</c:v>
                </c:pt>
                <c:pt idx="90">
                  <c:v>1.4160454853478388E-2</c:v>
                </c:pt>
                <c:pt idx="91">
                  <c:v>1.434572337729545E-2</c:v>
                </c:pt>
                <c:pt idx="92">
                  <c:v>-2.8165167095115629E-2</c:v>
                </c:pt>
                <c:pt idx="93">
                  <c:v>-9.9194868318774887E-5</c:v>
                </c:pt>
                <c:pt idx="94">
                  <c:v>3.329971395975595E-2</c:v>
                </c:pt>
                <c:pt idx="95">
                  <c:v>1.5125210016801338E-2</c:v>
                </c:pt>
                <c:pt idx="96">
                  <c:v>-2.457430416809514E-2</c:v>
                </c:pt>
                <c:pt idx="97">
                  <c:v>-1.0503989496010502E-2</c:v>
                </c:pt>
                <c:pt idx="98">
                  <c:v>1.7495151577013424E-2</c:v>
                </c:pt>
                <c:pt idx="99">
                  <c:v>-2.466594438425429E-2</c:v>
                </c:pt>
                <c:pt idx="100">
                  <c:v>1.5835400698584357E-2</c:v>
                </c:pt>
                <c:pt idx="101">
                  <c:v>4.1674766718506895E-3</c:v>
                </c:pt>
                <c:pt idx="102">
                  <c:v>-8.1430662939974141E-3</c:v>
                </c:pt>
                <c:pt idx="103">
                  <c:v>7.6447003521442625E-3</c:v>
                </c:pt>
                <c:pt idx="104">
                  <c:v>1.0524531682553073E-2</c:v>
                </c:pt>
                <c:pt idx="105">
                  <c:v>-2.923205942254703E-2</c:v>
                </c:pt>
                <c:pt idx="106">
                  <c:v>-3.0400263276975648E-2</c:v>
                </c:pt>
                <c:pt idx="107">
                  <c:v>3.6694951209164106E-2</c:v>
                </c:pt>
              </c:numCache>
            </c:numRef>
          </c:val>
          <c:extLst>
            <c:ext xmlns:c16="http://schemas.microsoft.com/office/drawing/2014/chart" uri="{C3380CC4-5D6E-409C-BE32-E72D297353CC}">
              <c16:uniqueId val="{00000000-C5DE-44B7-A9E9-CD214C14FF99}"/>
            </c:ext>
          </c:extLst>
        </c:ser>
        <c:dLbls>
          <c:showLegendKey val="0"/>
          <c:showVal val="0"/>
          <c:showCatName val="0"/>
          <c:showSerName val="0"/>
          <c:showPercent val="0"/>
          <c:showBubbleSize val="0"/>
        </c:dLbls>
        <c:gapWidth val="150"/>
        <c:axId val="751882712"/>
        <c:axId val="751885336"/>
      </c:barChart>
      <c:lineChart>
        <c:grouping val="standard"/>
        <c:varyColors val="0"/>
        <c:ser>
          <c:idx val="2"/>
          <c:order val="2"/>
          <c:tx>
            <c:strRef>
              <c:f>AC!$AO$1</c:f>
              <c:strCache>
                <c:ptCount val="1"/>
                <c:pt idx="0">
                  <c:v>Philips Bond Beta</c:v>
                </c:pt>
              </c:strCache>
            </c:strRef>
          </c:tx>
          <c:spPr>
            <a:ln w="28575" cap="rnd">
              <a:solidFill>
                <a:srgbClr val="5E838C"/>
              </a:solidFill>
              <a:round/>
            </a:ln>
            <a:effectLst/>
          </c:spPr>
          <c:marker>
            <c:symbol val="none"/>
          </c:marker>
          <c:cat>
            <c:numRef>
              <c:f>AC!$AL$2:$AL$109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AC!$AO$2:$AO$109</c:f>
              <c:numCache>
                <c:formatCode>0.00</c:formatCode>
                <c:ptCount val="108"/>
                <c:pt idx="0">
                  <c:v>-0.12498736259259137</c:v>
                </c:pt>
                <c:pt idx="1">
                  <c:v>-0.12498736259259137</c:v>
                </c:pt>
                <c:pt idx="2">
                  <c:v>-0.12498736259259137</c:v>
                </c:pt>
                <c:pt idx="3">
                  <c:v>-0.12498736259259137</c:v>
                </c:pt>
                <c:pt idx="4">
                  <c:v>-0.12498736259259137</c:v>
                </c:pt>
                <c:pt idx="5">
                  <c:v>-0.12498736259259137</c:v>
                </c:pt>
                <c:pt idx="6">
                  <c:v>-0.12498736259259137</c:v>
                </c:pt>
                <c:pt idx="7">
                  <c:v>-0.12498736259259137</c:v>
                </c:pt>
                <c:pt idx="8">
                  <c:v>-0.12498736259259137</c:v>
                </c:pt>
                <c:pt idx="9">
                  <c:v>-0.12498736259259137</c:v>
                </c:pt>
                <c:pt idx="10">
                  <c:v>-0.12498736259259137</c:v>
                </c:pt>
                <c:pt idx="11">
                  <c:v>-0.12498736259259137</c:v>
                </c:pt>
                <c:pt idx="12">
                  <c:v>-0.12498736259259137</c:v>
                </c:pt>
                <c:pt idx="13">
                  <c:v>-0.12498736259259137</c:v>
                </c:pt>
                <c:pt idx="14">
                  <c:v>-0.12498736259259137</c:v>
                </c:pt>
                <c:pt idx="15">
                  <c:v>-0.12498736259259137</c:v>
                </c:pt>
                <c:pt idx="16">
                  <c:v>-0.12498736259259137</c:v>
                </c:pt>
                <c:pt idx="17">
                  <c:v>-0.12498736259259137</c:v>
                </c:pt>
                <c:pt idx="18">
                  <c:v>-0.12498736259259137</c:v>
                </c:pt>
                <c:pt idx="19">
                  <c:v>-0.12498736259259137</c:v>
                </c:pt>
                <c:pt idx="20">
                  <c:v>-0.12498736259259137</c:v>
                </c:pt>
                <c:pt idx="21">
                  <c:v>-0.12498736259259137</c:v>
                </c:pt>
                <c:pt idx="22">
                  <c:v>-0.12498736259259137</c:v>
                </c:pt>
                <c:pt idx="23">
                  <c:v>-0.12498736259259137</c:v>
                </c:pt>
                <c:pt idx="24">
                  <c:v>-0.12498736259259137</c:v>
                </c:pt>
                <c:pt idx="25">
                  <c:v>-0.12498736259259137</c:v>
                </c:pt>
                <c:pt idx="26">
                  <c:v>-0.12498736259259137</c:v>
                </c:pt>
                <c:pt idx="27">
                  <c:v>-0.12498736259259137</c:v>
                </c:pt>
                <c:pt idx="28">
                  <c:v>-0.12498736259259137</c:v>
                </c:pt>
                <c:pt idx="29">
                  <c:v>-0.12498736259259137</c:v>
                </c:pt>
                <c:pt idx="30">
                  <c:v>-0.12498736259259137</c:v>
                </c:pt>
                <c:pt idx="31">
                  <c:v>-0.12498736259259137</c:v>
                </c:pt>
                <c:pt idx="32">
                  <c:v>-0.12498736259259137</c:v>
                </c:pt>
                <c:pt idx="33">
                  <c:v>-0.12498736259259137</c:v>
                </c:pt>
                <c:pt idx="34">
                  <c:v>-0.12498736259259137</c:v>
                </c:pt>
                <c:pt idx="35">
                  <c:v>-0.12498736259259137</c:v>
                </c:pt>
                <c:pt idx="36">
                  <c:v>-0.12498736259259137</c:v>
                </c:pt>
                <c:pt idx="37">
                  <c:v>-0.12498736259259137</c:v>
                </c:pt>
                <c:pt idx="38">
                  <c:v>-0.12498736259259137</c:v>
                </c:pt>
                <c:pt idx="39">
                  <c:v>-0.12498736259259137</c:v>
                </c:pt>
                <c:pt idx="40">
                  <c:v>-0.12498736259259137</c:v>
                </c:pt>
                <c:pt idx="41">
                  <c:v>-0.12498736259259137</c:v>
                </c:pt>
                <c:pt idx="42">
                  <c:v>-0.12498736259259137</c:v>
                </c:pt>
                <c:pt idx="43">
                  <c:v>-0.12498736259259137</c:v>
                </c:pt>
                <c:pt idx="44">
                  <c:v>-0.12498736259259137</c:v>
                </c:pt>
                <c:pt idx="45">
                  <c:v>-0.12498736259259137</c:v>
                </c:pt>
                <c:pt idx="46">
                  <c:v>-0.12498736259259137</c:v>
                </c:pt>
                <c:pt idx="47">
                  <c:v>-0.12498736259259137</c:v>
                </c:pt>
                <c:pt idx="48">
                  <c:v>-0.12498736259259137</c:v>
                </c:pt>
                <c:pt idx="49">
                  <c:v>-0.12498736259259137</c:v>
                </c:pt>
                <c:pt idx="50">
                  <c:v>-0.12498736259259137</c:v>
                </c:pt>
                <c:pt idx="51">
                  <c:v>-0.12498736259259137</c:v>
                </c:pt>
                <c:pt idx="52">
                  <c:v>-0.12498736259259137</c:v>
                </c:pt>
                <c:pt idx="53">
                  <c:v>-0.12498736259259137</c:v>
                </c:pt>
                <c:pt idx="54">
                  <c:v>-0.12498736259259137</c:v>
                </c:pt>
                <c:pt idx="55">
                  <c:v>-0.12498736259259137</c:v>
                </c:pt>
                <c:pt idx="56">
                  <c:v>-0.12498736259259137</c:v>
                </c:pt>
                <c:pt idx="57">
                  <c:v>-0.12498736259259137</c:v>
                </c:pt>
                <c:pt idx="58">
                  <c:v>-0.12498736259259137</c:v>
                </c:pt>
                <c:pt idx="59">
                  <c:v>-0.12498736259259137</c:v>
                </c:pt>
                <c:pt idx="60">
                  <c:v>-0.12498736259259137</c:v>
                </c:pt>
                <c:pt idx="61">
                  <c:v>-0.12498736259259137</c:v>
                </c:pt>
                <c:pt idx="62">
                  <c:v>-0.12498736259259137</c:v>
                </c:pt>
                <c:pt idx="63">
                  <c:v>-0.12498736259259137</c:v>
                </c:pt>
                <c:pt idx="64">
                  <c:v>-0.12498736259259137</c:v>
                </c:pt>
                <c:pt idx="65">
                  <c:v>-0.12498736259259137</c:v>
                </c:pt>
                <c:pt idx="66">
                  <c:v>-0.12498736259259137</c:v>
                </c:pt>
                <c:pt idx="67">
                  <c:v>-0.12498736259259137</c:v>
                </c:pt>
                <c:pt idx="68">
                  <c:v>-0.12498736259259137</c:v>
                </c:pt>
                <c:pt idx="69">
                  <c:v>-0.12498736259259137</c:v>
                </c:pt>
                <c:pt idx="70">
                  <c:v>-0.12498736259259137</c:v>
                </c:pt>
                <c:pt idx="71">
                  <c:v>-0.12498736259259137</c:v>
                </c:pt>
                <c:pt idx="72">
                  <c:v>-0.12498736259259137</c:v>
                </c:pt>
                <c:pt idx="73">
                  <c:v>-0.12498736259259137</c:v>
                </c:pt>
                <c:pt idx="74">
                  <c:v>-0.12498736259259137</c:v>
                </c:pt>
                <c:pt idx="75">
                  <c:v>-0.12498736259259137</c:v>
                </c:pt>
                <c:pt idx="76">
                  <c:v>-0.12498736259259137</c:v>
                </c:pt>
                <c:pt idx="77">
                  <c:v>-0.12498736259259137</c:v>
                </c:pt>
                <c:pt idx="78">
                  <c:v>-0.12498736259259137</c:v>
                </c:pt>
                <c:pt idx="79">
                  <c:v>-0.12498736259259137</c:v>
                </c:pt>
                <c:pt idx="80">
                  <c:v>-0.12498736259259137</c:v>
                </c:pt>
                <c:pt idx="81">
                  <c:v>-0.12498736259259137</c:v>
                </c:pt>
                <c:pt idx="82">
                  <c:v>-0.12498736259259137</c:v>
                </c:pt>
                <c:pt idx="83">
                  <c:v>-0.12498736259259137</c:v>
                </c:pt>
                <c:pt idx="84">
                  <c:v>-0.12498736259259137</c:v>
                </c:pt>
                <c:pt idx="85">
                  <c:v>-0.12498736259259137</c:v>
                </c:pt>
                <c:pt idx="86">
                  <c:v>-0.12498736259259137</c:v>
                </c:pt>
                <c:pt idx="87">
                  <c:v>-0.12498736259259137</c:v>
                </c:pt>
                <c:pt idx="88">
                  <c:v>-0.12498736259259137</c:v>
                </c:pt>
                <c:pt idx="89">
                  <c:v>-0.12498736259259137</c:v>
                </c:pt>
                <c:pt idx="90">
                  <c:v>-0.12498736259259137</c:v>
                </c:pt>
                <c:pt idx="91">
                  <c:v>-0.12498736259259137</c:v>
                </c:pt>
                <c:pt idx="92">
                  <c:v>-0.12498736259259137</c:v>
                </c:pt>
                <c:pt idx="93">
                  <c:v>-0.12498736259259137</c:v>
                </c:pt>
                <c:pt idx="94">
                  <c:v>-0.12498736259259137</c:v>
                </c:pt>
                <c:pt idx="95">
                  <c:v>-0.12498736259259137</c:v>
                </c:pt>
                <c:pt idx="96">
                  <c:v>-0.12498736259259137</c:v>
                </c:pt>
                <c:pt idx="97">
                  <c:v>-0.12498736259259137</c:v>
                </c:pt>
                <c:pt idx="98">
                  <c:v>-0.12498736259259137</c:v>
                </c:pt>
                <c:pt idx="99">
                  <c:v>-0.12498736259259137</c:v>
                </c:pt>
                <c:pt idx="100">
                  <c:v>-0.12498736259259137</c:v>
                </c:pt>
                <c:pt idx="101">
                  <c:v>-0.12498736259259137</c:v>
                </c:pt>
                <c:pt idx="102">
                  <c:v>-0.12498736259259137</c:v>
                </c:pt>
                <c:pt idx="103">
                  <c:v>-0.12498736259259137</c:v>
                </c:pt>
                <c:pt idx="104">
                  <c:v>-0.12498736259259137</c:v>
                </c:pt>
                <c:pt idx="105">
                  <c:v>-0.12498736259259137</c:v>
                </c:pt>
                <c:pt idx="106">
                  <c:v>-0.12498736259259137</c:v>
                </c:pt>
                <c:pt idx="107">
                  <c:v>-0.12498736259259137</c:v>
                </c:pt>
              </c:numCache>
            </c:numRef>
          </c:val>
          <c:smooth val="0"/>
          <c:extLst>
            <c:ext xmlns:c16="http://schemas.microsoft.com/office/drawing/2014/chart" uri="{C3380CC4-5D6E-409C-BE32-E72D297353CC}">
              <c16:uniqueId val="{00000001-C5DE-44B7-A9E9-CD214C14FF99}"/>
            </c:ext>
          </c:extLst>
        </c:ser>
        <c:ser>
          <c:idx val="3"/>
          <c:order val="3"/>
          <c:tx>
            <c:strRef>
              <c:f>AC!$AP$1</c:f>
              <c:strCache>
                <c:ptCount val="1"/>
                <c:pt idx="0">
                  <c:v>IBM Bond Beta</c:v>
                </c:pt>
              </c:strCache>
            </c:strRef>
          </c:tx>
          <c:spPr>
            <a:ln w="28575" cap="rnd">
              <a:solidFill>
                <a:srgbClr val="8B4513"/>
              </a:solidFill>
              <a:round/>
            </a:ln>
            <a:effectLst/>
          </c:spPr>
          <c:marker>
            <c:symbol val="none"/>
          </c:marker>
          <c:cat>
            <c:numRef>
              <c:f>AC!$AL$2:$AL$109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AC!$AP$2:$AP$109</c:f>
              <c:numCache>
                <c:formatCode>0.00</c:formatCode>
                <c:ptCount val="108"/>
                <c:pt idx="0">
                  <c:v>0.19970923689173462</c:v>
                </c:pt>
                <c:pt idx="1">
                  <c:v>0.19970923689173462</c:v>
                </c:pt>
                <c:pt idx="2">
                  <c:v>0.19970923689173462</c:v>
                </c:pt>
                <c:pt idx="3">
                  <c:v>0.19970923689173462</c:v>
                </c:pt>
                <c:pt idx="4">
                  <c:v>0.19970923689173462</c:v>
                </c:pt>
                <c:pt idx="5">
                  <c:v>0.19970923689173462</c:v>
                </c:pt>
                <c:pt idx="6">
                  <c:v>0.19970923689173462</c:v>
                </c:pt>
                <c:pt idx="7">
                  <c:v>0.19970923689173462</c:v>
                </c:pt>
                <c:pt idx="8">
                  <c:v>0.19970923689173462</c:v>
                </c:pt>
                <c:pt idx="9">
                  <c:v>0.19970923689173462</c:v>
                </c:pt>
                <c:pt idx="10">
                  <c:v>0.19970923689173462</c:v>
                </c:pt>
                <c:pt idx="11">
                  <c:v>0.19970923689173462</c:v>
                </c:pt>
                <c:pt idx="12">
                  <c:v>0.19970923689173462</c:v>
                </c:pt>
                <c:pt idx="13">
                  <c:v>0.19970923689173462</c:v>
                </c:pt>
                <c:pt idx="14">
                  <c:v>0.19970923689173462</c:v>
                </c:pt>
                <c:pt idx="15">
                  <c:v>0.19970923689173462</c:v>
                </c:pt>
                <c:pt idx="16">
                  <c:v>0.19970923689173462</c:v>
                </c:pt>
                <c:pt idx="17">
                  <c:v>0.19970923689173462</c:v>
                </c:pt>
                <c:pt idx="18">
                  <c:v>0.19970923689173462</c:v>
                </c:pt>
                <c:pt idx="19">
                  <c:v>0.19970923689173462</c:v>
                </c:pt>
                <c:pt idx="20">
                  <c:v>0.19970923689173462</c:v>
                </c:pt>
                <c:pt idx="21">
                  <c:v>0.19970923689173462</c:v>
                </c:pt>
                <c:pt idx="22">
                  <c:v>0.19970923689173462</c:v>
                </c:pt>
                <c:pt idx="23">
                  <c:v>0.19970923689173462</c:v>
                </c:pt>
                <c:pt idx="24">
                  <c:v>0.19970923689173462</c:v>
                </c:pt>
                <c:pt idx="25">
                  <c:v>0.19970923689173462</c:v>
                </c:pt>
                <c:pt idx="26">
                  <c:v>0.19970923689173462</c:v>
                </c:pt>
                <c:pt idx="27">
                  <c:v>0.19970923689173462</c:v>
                </c:pt>
                <c:pt idx="28">
                  <c:v>0.19970923689173462</c:v>
                </c:pt>
                <c:pt idx="29">
                  <c:v>0.19970923689173462</c:v>
                </c:pt>
                <c:pt idx="30">
                  <c:v>0.19970923689173462</c:v>
                </c:pt>
                <c:pt idx="31">
                  <c:v>0.19970923689173462</c:v>
                </c:pt>
                <c:pt idx="32">
                  <c:v>0.19970923689173462</c:v>
                </c:pt>
                <c:pt idx="33">
                  <c:v>0.19970923689173462</c:v>
                </c:pt>
                <c:pt idx="34">
                  <c:v>0.19970923689173462</c:v>
                </c:pt>
                <c:pt idx="35">
                  <c:v>0.19970923689173462</c:v>
                </c:pt>
                <c:pt idx="36">
                  <c:v>0.19970923689173462</c:v>
                </c:pt>
                <c:pt idx="37">
                  <c:v>0.19970923689173462</c:v>
                </c:pt>
                <c:pt idx="38">
                  <c:v>0.19970923689173462</c:v>
                </c:pt>
                <c:pt idx="39">
                  <c:v>0.19970923689173462</c:v>
                </c:pt>
                <c:pt idx="40">
                  <c:v>0.19970923689173462</c:v>
                </c:pt>
                <c:pt idx="41">
                  <c:v>0.19970923689173462</c:v>
                </c:pt>
                <c:pt idx="42">
                  <c:v>0.19970923689173462</c:v>
                </c:pt>
                <c:pt idx="43">
                  <c:v>0.19970923689173462</c:v>
                </c:pt>
                <c:pt idx="44">
                  <c:v>0.19970923689173462</c:v>
                </c:pt>
                <c:pt idx="45">
                  <c:v>0.19970923689173462</c:v>
                </c:pt>
                <c:pt idx="46">
                  <c:v>0.19970923689173462</c:v>
                </c:pt>
                <c:pt idx="47">
                  <c:v>0.19970923689173462</c:v>
                </c:pt>
                <c:pt idx="48">
                  <c:v>0.19970923689173462</c:v>
                </c:pt>
                <c:pt idx="49">
                  <c:v>0.19970923689173462</c:v>
                </c:pt>
                <c:pt idx="50">
                  <c:v>0.19970923689173462</c:v>
                </c:pt>
                <c:pt idx="51">
                  <c:v>0.19970923689173462</c:v>
                </c:pt>
                <c:pt idx="52">
                  <c:v>0.19970923689173462</c:v>
                </c:pt>
                <c:pt idx="53">
                  <c:v>0.19970923689173462</c:v>
                </c:pt>
                <c:pt idx="54">
                  <c:v>0.19970923689173462</c:v>
                </c:pt>
                <c:pt idx="55">
                  <c:v>0.19970923689173462</c:v>
                </c:pt>
                <c:pt idx="56">
                  <c:v>0.19970923689173462</c:v>
                </c:pt>
                <c:pt idx="57">
                  <c:v>0.19970923689173462</c:v>
                </c:pt>
                <c:pt idx="58">
                  <c:v>0.19970923689173462</c:v>
                </c:pt>
                <c:pt idx="59">
                  <c:v>0.19970923689173462</c:v>
                </c:pt>
                <c:pt idx="60">
                  <c:v>0.19970923689173462</c:v>
                </c:pt>
                <c:pt idx="61">
                  <c:v>0.19970923689173462</c:v>
                </c:pt>
                <c:pt idx="62">
                  <c:v>0.19970923689173462</c:v>
                </c:pt>
                <c:pt idx="63">
                  <c:v>0.19970923689173462</c:v>
                </c:pt>
                <c:pt idx="64">
                  <c:v>0.19970923689173462</c:v>
                </c:pt>
                <c:pt idx="65">
                  <c:v>0.19970923689173462</c:v>
                </c:pt>
                <c:pt idx="66">
                  <c:v>0.19970923689173462</c:v>
                </c:pt>
                <c:pt idx="67">
                  <c:v>0.19970923689173462</c:v>
                </c:pt>
                <c:pt idx="68">
                  <c:v>0.19970923689173462</c:v>
                </c:pt>
                <c:pt idx="69">
                  <c:v>0.19970923689173462</c:v>
                </c:pt>
                <c:pt idx="70">
                  <c:v>0.19970923689173462</c:v>
                </c:pt>
                <c:pt idx="71">
                  <c:v>0.19970923689173462</c:v>
                </c:pt>
                <c:pt idx="72">
                  <c:v>0.19970923689173462</c:v>
                </c:pt>
                <c:pt idx="73">
                  <c:v>0.19970923689173462</c:v>
                </c:pt>
                <c:pt idx="74">
                  <c:v>0.19970923689173462</c:v>
                </c:pt>
                <c:pt idx="75">
                  <c:v>0.19970923689173462</c:v>
                </c:pt>
                <c:pt idx="76">
                  <c:v>0.19970923689173462</c:v>
                </c:pt>
                <c:pt idx="77">
                  <c:v>0.19970923689173462</c:v>
                </c:pt>
                <c:pt idx="78">
                  <c:v>0.19970923689173462</c:v>
                </c:pt>
                <c:pt idx="79">
                  <c:v>0.19970923689173462</c:v>
                </c:pt>
                <c:pt idx="80">
                  <c:v>0.19970923689173462</c:v>
                </c:pt>
                <c:pt idx="81">
                  <c:v>0.19970923689173462</c:v>
                </c:pt>
                <c:pt idx="82">
                  <c:v>0.19970923689173462</c:v>
                </c:pt>
                <c:pt idx="83">
                  <c:v>0.19970923689173462</c:v>
                </c:pt>
                <c:pt idx="84">
                  <c:v>0.19970923689173462</c:v>
                </c:pt>
                <c:pt idx="85">
                  <c:v>0.19970923689173462</c:v>
                </c:pt>
                <c:pt idx="86">
                  <c:v>0.19970923689173462</c:v>
                </c:pt>
                <c:pt idx="87">
                  <c:v>0.19970923689173462</c:v>
                </c:pt>
                <c:pt idx="88">
                  <c:v>0.19970923689173462</c:v>
                </c:pt>
                <c:pt idx="89">
                  <c:v>0.19970923689173462</c:v>
                </c:pt>
                <c:pt idx="90">
                  <c:v>0.19970923689173462</c:v>
                </c:pt>
                <c:pt idx="91">
                  <c:v>0.19970923689173462</c:v>
                </c:pt>
                <c:pt idx="92">
                  <c:v>0.19970923689173462</c:v>
                </c:pt>
                <c:pt idx="93">
                  <c:v>0.19970923689173462</c:v>
                </c:pt>
                <c:pt idx="94">
                  <c:v>0.19970923689173462</c:v>
                </c:pt>
                <c:pt idx="95">
                  <c:v>0.19970923689173462</c:v>
                </c:pt>
                <c:pt idx="96">
                  <c:v>0.19970923689173462</c:v>
                </c:pt>
                <c:pt idx="97">
                  <c:v>0.19970923689173462</c:v>
                </c:pt>
                <c:pt idx="98">
                  <c:v>0.19970923689173462</c:v>
                </c:pt>
                <c:pt idx="99">
                  <c:v>0.19970923689173462</c:v>
                </c:pt>
                <c:pt idx="100">
                  <c:v>0.19970923689173462</c:v>
                </c:pt>
                <c:pt idx="101">
                  <c:v>0.19970923689173462</c:v>
                </c:pt>
                <c:pt idx="102">
                  <c:v>0.19970923689173462</c:v>
                </c:pt>
                <c:pt idx="103">
                  <c:v>0.19970923689173462</c:v>
                </c:pt>
                <c:pt idx="104">
                  <c:v>0.19970923689173462</c:v>
                </c:pt>
                <c:pt idx="105">
                  <c:v>0.19970923689173462</c:v>
                </c:pt>
                <c:pt idx="106">
                  <c:v>0.19970923689173462</c:v>
                </c:pt>
                <c:pt idx="107">
                  <c:v>0.19970923689173462</c:v>
                </c:pt>
              </c:numCache>
            </c:numRef>
          </c:val>
          <c:smooth val="0"/>
          <c:extLst>
            <c:ext xmlns:c16="http://schemas.microsoft.com/office/drawing/2014/chart" uri="{C3380CC4-5D6E-409C-BE32-E72D297353CC}">
              <c16:uniqueId val="{00000002-C5DE-44B7-A9E9-CD214C14FF99}"/>
            </c:ext>
          </c:extLst>
        </c:ser>
        <c:dLbls>
          <c:showLegendKey val="0"/>
          <c:showVal val="0"/>
          <c:showCatName val="0"/>
          <c:showSerName val="0"/>
          <c:showPercent val="0"/>
          <c:showBubbleSize val="0"/>
        </c:dLbls>
        <c:marker val="1"/>
        <c:smooth val="0"/>
        <c:axId val="737322080"/>
        <c:axId val="737319784"/>
      </c:lineChart>
      <c:dateAx>
        <c:axId val="751882712"/>
        <c:scaling>
          <c:orientation val="minMax"/>
        </c:scaling>
        <c:delete val="0"/>
        <c:axPos val="b"/>
        <c:numFmt formatCode="[$-409]mmm\-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0"/>
        <c:lblOffset val="100"/>
        <c:baseTimeUnit val="months"/>
        <c:majorUnit val="6"/>
        <c:majorTimeUnit val="months"/>
      </c:dateAx>
      <c:valAx>
        <c:axId val="751885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valAx>
        <c:axId val="737319784"/>
        <c:scaling>
          <c:orientation val="minMax"/>
          <c:max val="1"/>
          <c:min val="-1"/>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Carbon Beta</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37322080"/>
        <c:crosses val="max"/>
        <c:crossBetween val="between"/>
      </c:valAx>
      <c:dateAx>
        <c:axId val="737322080"/>
        <c:scaling>
          <c:orientation val="minMax"/>
        </c:scaling>
        <c:delete val="1"/>
        <c:axPos val="b"/>
        <c:numFmt formatCode="[$-409]mmm\-yy;@" sourceLinked="1"/>
        <c:majorTickMark val="out"/>
        <c:minorTickMark val="none"/>
        <c:tickLblPos val="nextTo"/>
        <c:crossAx val="737319784"/>
        <c:crosses val="autoZero"/>
        <c:auto val="0"/>
        <c:lblOffset val="100"/>
        <c:baseTimeUnit val="months"/>
      </c:date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2999695256547E-2"/>
          <c:y val="8.6406652204902054E-2"/>
          <c:w val="0.83431191129763937"/>
          <c:h val="0.72004572667801259"/>
        </c:manualLayout>
      </c:layout>
      <c:barChart>
        <c:barDir val="col"/>
        <c:grouping val="clustered"/>
        <c:varyColors val="0"/>
        <c:ser>
          <c:idx val="0"/>
          <c:order val="0"/>
          <c:tx>
            <c:strRef>
              <c:f>'AC3'!$G$1</c:f>
              <c:strCache>
                <c:ptCount val="1"/>
                <c:pt idx="0">
                  <c:v>Portfolio</c:v>
                </c:pt>
              </c:strCache>
            </c:strRef>
          </c:tx>
          <c:spPr>
            <a:solidFill>
              <a:srgbClr val="00B0F0"/>
            </a:solidFill>
            <a:ln>
              <a:noFill/>
            </a:ln>
            <a:effectLst/>
          </c:spPr>
          <c:invertIfNegative val="0"/>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'AC3'!$G$2:$G$109</c:f>
              <c:numCache>
                <c:formatCode>0.00%</c:formatCode>
                <c:ptCount val="108"/>
                <c:pt idx="0">
                  <c:v>-8.6464310437440878E-2</c:v>
                </c:pt>
                <c:pt idx="1">
                  <c:v>-2.6275045238435265E-2</c:v>
                </c:pt>
                <c:pt idx="2">
                  <c:v>7.1228908747434622E-2</c:v>
                </c:pt>
                <c:pt idx="3">
                  <c:v>3.9506648946553473E-2</c:v>
                </c:pt>
                <c:pt idx="4">
                  <c:v>-0.12882171608507634</c:v>
                </c:pt>
                <c:pt idx="5">
                  <c:v>-8.017538208514452E-2</c:v>
                </c:pt>
                <c:pt idx="6">
                  <c:v>0.10061837807297706</c:v>
                </c:pt>
                <c:pt idx="7">
                  <c:v>-7.4417324736714363E-2</c:v>
                </c:pt>
                <c:pt idx="8">
                  <c:v>6.7469230853021145E-2</c:v>
                </c:pt>
                <c:pt idx="9">
                  <c:v>-2.8151643089950083E-2</c:v>
                </c:pt>
                <c:pt idx="10">
                  <c:v>-8.1037240102887105E-3</c:v>
                </c:pt>
                <c:pt idx="11">
                  <c:v>6.9093057513236994E-2</c:v>
                </c:pt>
                <c:pt idx="12">
                  <c:v>5.2848514169454575E-2</c:v>
                </c:pt>
                <c:pt idx="13">
                  <c:v>3.7497224204707885E-2</c:v>
                </c:pt>
                <c:pt idx="14">
                  <c:v>4.9260756094008679E-2</c:v>
                </c:pt>
                <c:pt idx="15">
                  <c:v>-4.3694856174988667E-2</c:v>
                </c:pt>
                <c:pt idx="16">
                  <c:v>-4.3824917078018187E-2</c:v>
                </c:pt>
                <c:pt idx="17">
                  <c:v>-8.5651788115501407E-2</c:v>
                </c:pt>
                <c:pt idx="18">
                  <c:v>-1.2478285963879922E-3</c:v>
                </c:pt>
                <c:pt idx="19">
                  <c:v>-9.9213770776987065E-2</c:v>
                </c:pt>
                <c:pt idx="20">
                  <c:v>-7.7431917563080779E-2</c:v>
                </c:pt>
                <c:pt idx="21">
                  <c:v>4.3454804085195066E-2</c:v>
                </c:pt>
                <c:pt idx="22">
                  <c:v>-7.449821531772613E-2</c:v>
                </c:pt>
                <c:pt idx="23">
                  <c:v>-5.3290490526705973E-2</c:v>
                </c:pt>
                <c:pt idx="24">
                  <c:v>0.10412241704761982</c:v>
                </c:pt>
                <c:pt idx="25">
                  <c:v>3.6137435585260391E-2</c:v>
                </c:pt>
                <c:pt idx="26">
                  <c:v>1.4655289426445957E-2</c:v>
                </c:pt>
                <c:pt idx="27">
                  <c:v>-4.4939436763525006E-2</c:v>
                </c:pt>
                <c:pt idx="28">
                  <c:v>-0.16975550428032873</c:v>
                </c:pt>
                <c:pt idx="29">
                  <c:v>-3.0313175171613679E-3</c:v>
                </c:pt>
                <c:pt idx="30">
                  <c:v>-5.3602503240108491E-2</c:v>
                </c:pt>
                <c:pt idx="31">
                  <c:v>0.15288711476605385</c:v>
                </c:pt>
                <c:pt idx="32">
                  <c:v>3.9292055834084752E-2</c:v>
                </c:pt>
                <c:pt idx="33">
                  <c:v>-7.941061574965716E-2</c:v>
                </c:pt>
                <c:pt idx="34">
                  <c:v>-1.5517467074096203E-2</c:v>
                </c:pt>
                <c:pt idx="35">
                  <c:v>9.0870131459087122E-2</c:v>
                </c:pt>
                <c:pt idx="36">
                  <c:v>4.8826960287988184E-2</c:v>
                </c:pt>
                <c:pt idx="37">
                  <c:v>6.5094616077840339E-2</c:v>
                </c:pt>
                <c:pt idx="38">
                  <c:v>4.9137205537408579E-2</c:v>
                </c:pt>
                <c:pt idx="39">
                  <c:v>6.7279013618826863E-2</c:v>
                </c:pt>
                <c:pt idx="40">
                  <c:v>0.22479254044592381</c:v>
                </c:pt>
                <c:pt idx="41">
                  <c:v>-4.2402275186032054E-2</c:v>
                </c:pt>
                <c:pt idx="42">
                  <c:v>0.1354235859354958</c:v>
                </c:pt>
                <c:pt idx="43">
                  <c:v>-3.9904167177155614E-2</c:v>
                </c:pt>
                <c:pt idx="44">
                  <c:v>0.14762627705931664</c:v>
                </c:pt>
                <c:pt idx="45">
                  <c:v>4.4726713653653855E-2</c:v>
                </c:pt>
                <c:pt idx="46">
                  <c:v>1.4683391898870468E-2</c:v>
                </c:pt>
                <c:pt idx="47">
                  <c:v>1.1290239356458185E-2</c:v>
                </c:pt>
                <c:pt idx="48">
                  <c:v>-4.0626417845487598E-3</c:v>
                </c:pt>
                <c:pt idx="49">
                  <c:v>6.5600129682570688E-2</c:v>
                </c:pt>
                <c:pt idx="50">
                  <c:v>3.7165919505059715E-2</c:v>
                </c:pt>
                <c:pt idx="51">
                  <c:v>2.9848479107022284E-2</c:v>
                </c:pt>
                <c:pt idx="52">
                  <c:v>6.8768566939979792E-2</c:v>
                </c:pt>
                <c:pt idx="53">
                  <c:v>3.9878034964203821E-3</c:v>
                </c:pt>
                <c:pt idx="54">
                  <c:v>-2.5363103253766894E-2</c:v>
                </c:pt>
                <c:pt idx="55">
                  <c:v>-1.5024620294570924E-2</c:v>
                </c:pt>
                <c:pt idx="56">
                  <c:v>-2.5301518104970454E-2</c:v>
                </c:pt>
                <c:pt idx="57">
                  <c:v>-6.9841234572231764E-2</c:v>
                </c:pt>
                <c:pt idx="58">
                  <c:v>4.0085973776876928E-2</c:v>
                </c:pt>
                <c:pt idx="59">
                  <c:v>-7.5194515520706773E-3</c:v>
                </c:pt>
                <c:pt idx="60">
                  <c:v>4.0046589728444812E-2</c:v>
                </c:pt>
                <c:pt idx="61">
                  <c:v>5.5863281060010192E-2</c:v>
                </c:pt>
                <c:pt idx="62">
                  <c:v>-3.2537020742893314E-4</c:v>
                </c:pt>
                <c:pt idx="63">
                  <c:v>4.6496682579163451E-2</c:v>
                </c:pt>
                <c:pt idx="64">
                  <c:v>2.4184644408524036E-2</c:v>
                </c:pt>
                <c:pt idx="65">
                  <c:v>-3.8060456328094003E-2</c:v>
                </c:pt>
                <c:pt idx="66">
                  <c:v>8.7476622313261004E-3</c:v>
                </c:pt>
                <c:pt idx="67">
                  <c:v>-8.0218501947820181E-2</c:v>
                </c:pt>
                <c:pt idx="68">
                  <c:v>-3.38767543900758E-2</c:v>
                </c:pt>
                <c:pt idx="69">
                  <c:v>9.842306822538377E-2</c:v>
                </c:pt>
                <c:pt idx="70">
                  <c:v>3.7755733565427371E-2</c:v>
                </c:pt>
                <c:pt idx="71">
                  <c:v>9.9696645280346243E-3</c:v>
                </c:pt>
                <c:pt idx="72">
                  <c:v>-6.9305294752120966E-2</c:v>
                </c:pt>
                <c:pt idx="73">
                  <c:v>-2.9685609787702565E-2</c:v>
                </c:pt>
                <c:pt idx="74">
                  <c:v>9.4330345466732968E-2</c:v>
                </c:pt>
                <c:pt idx="75">
                  <c:v>1.0021725110709669E-2</c:v>
                </c:pt>
                <c:pt idx="76">
                  <c:v>1.6936893807724115E-2</c:v>
                </c:pt>
                <c:pt idx="77">
                  <c:v>-2.4418483953922984E-2</c:v>
                </c:pt>
                <c:pt idx="78">
                  <c:v>7.9002214595675468E-2</c:v>
                </c:pt>
                <c:pt idx="79">
                  <c:v>7.7390190027654154E-2</c:v>
                </c:pt>
                <c:pt idx="80">
                  <c:v>-8.9729522645939138E-3</c:v>
                </c:pt>
                <c:pt idx="81">
                  <c:v>-9.6334711881354423E-3</c:v>
                </c:pt>
                <c:pt idx="82">
                  <c:v>-5.4719714913517244E-2</c:v>
                </c:pt>
                <c:pt idx="83">
                  <c:v>1.662369929254055E-2</c:v>
                </c:pt>
                <c:pt idx="84">
                  <c:v>3.5705261602516067E-2</c:v>
                </c:pt>
                <c:pt idx="85">
                  <c:v>3.8063585049670848E-3</c:v>
                </c:pt>
                <c:pt idx="86">
                  <c:v>1.9721317814046905E-2</c:v>
                </c:pt>
                <c:pt idx="87">
                  <c:v>5.2571642552222235E-3</c:v>
                </c:pt>
                <c:pt idx="88">
                  <c:v>9.9914927170182254E-3</c:v>
                </c:pt>
                <c:pt idx="89">
                  <c:v>-8.0437478320325665E-3</c:v>
                </c:pt>
                <c:pt idx="90">
                  <c:v>3.3341695099933018E-2</c:v>
                </c:pt>
                <c:pt idx="91">
                  <c:v>-3.6908678767541378E-2</c:v>
                </c:pt>
                <c:pt idx="92">
                  <c:v>3.794458195758986E-2</c:v>
                </c:pt>
                <c:pt idx="93">
                  <c:v>3.0224184527009808E-2</c:v>
                </c:pt>
                <c:pt idx="94">
                  <c:v>-7.9228836646362488E-2</c:v>
                </c:pt>
                <c:pt idx="95">
                  <c:v>4.2768601499220196E-2</c:v>
                </c:pt>
                <c:pt idx="96">
                  <c:v>2.5056545488845922E-2</c:v>
                </c:pt>
                <c:pt idx="97">
                  <c:v>-8.7012496762138951E-3</c:v>
                </c:pt>
                <c:pt idx="98">
                  <c:v>-3.0453719043066239E-2</c:v>
                </c:pt>
                <c:pt idx="99">
                  <c:v>-1.1709806194446934E-2</c:v>
                </c:pt>
                <c:pt idx="100">
                  <c:v>-2.2140649715648122E-2</c:v>
                </c:pt>
                <c:pt idx="101">
                  <c:v>-2.0301606566079152E-2</c:v>
                </c:pt>
                <c:pt idx="102">
                  <c:v>1.9285773485627201E-2</c:v>
                </c:pt>
                <c:pt idx="103">
                  <c:v>1.0033111685453996E-2</c:v>
                </c:pt>
                <c:pt idx="104">
                  <c:v>-9.0023600401373839E-3</c:v>
                </c:pt>
                <c:pt idx="105">
                  <c:v>-0.11480778274718156</c:v>
                </c:pt>
                <c:pt idx="106">
                  <c:v>7.6425224265399591E-2</c:v>
                </c:pt>
                <c:pt idx="107">
                  <c:v>-2.62677514160439E-2</c:v>
                </c:pt>
              </c:numCache>
            </c:numRef>
          </c:val>
          <c:extLst>
            <c:ext xmlns:c16="http://schemas.microsoft.com/office/drawing/2014/chart" uri="{C3380CC4-5D6E-409C-BE32-E72D297353CC}">
              <c16:uniqueId val="{00000000-4C41-483E-AD2A-65A7CB8424AF}"/>
            </c:ext>
          </c:extLst>
        </c:ser>
        <c:dLbls>
          <c:showLegendKey val="0"/>
          <c:showVal val="0"/>
          <c:showCatName val="0"/>
          <c:showSerName val="0"/>
          <c:showPercent val="0"/>
          <c:showBubbleSize val="0"/>
        </c:dLbls>
        <c:gapWidth val="150"/>
        <c:axId val="751882712"/>
        <c:axId val="751885336"/>
      </c:barChart>
      <c:lineChart>
        <c:grouping val="standard"/>
        <c:varyColors val="0"/>
        <c:ser>
          <c:idx val="1"/>
          <c:order val="1"/>
          <c:tx>
            <c:strRef>
              <c:f>'AC3'!$H$1</c:f>
              <c:strCache>
                <c:ptCount val="1"/>
                <c:pt idx="0">
                  <c:v>Portfolio Carbon Beta</c:v>
                </c:pt>
              </c:strCache>
            </c:strRef>
          </c:tx>
          <c:spPr>
            <a:ln w="28575" cap="rnd">
              <a:solidFill>
                <a:srgbClr val="00B0F0"/>
              </a:solidFill>
              <a:round/>
            </a:ln>
            <a:effectLst/>
          </c:spPr>
          <c:marker>
            <c:symbol val="none"/>
          </c:marker>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'AC3'!$H$2:$H$109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-0.71899671888682204</c:v>
                </c:pt>
                <c:pt idx="61">
                  <c:v>-0.81539328207672879</c:v>
                </c:pt>
                <c:pt idx="62">
                  <c:v>-0.78047205810071418</c:v>
                </c:pt>
                <c:pt idx="63">
                  <c:v>-0.7736588925125204</c:v>
                </c:pt>
                <c:pt idx="64">
                  <c:v>-0.78202926166256637</c:v>
                </c:pt>
                <c:pt idx="65">
                  <c:v>-0.74211265682051908</c:v>
                </c:pt>
                <c:pt idx="66">
                  <c:v>-0.80587936432001506</c:v>
                </c:pt>
                <c:pt idx="67">
                  <c:v>-0.82138803757795276</c:v>
                </c:pt>
                <c:pt idx="68">
                  <c:v>-0.83961196346204048</c:v>
                </c:pt>
                <c:pt idx="69">
                  <c:v>-0.92703568291881977</c:v>
                </c:pt>
                <c:pt idx="70">
                  <c:v>-0.92516035629889981</c:v>
                </c:pt>
                <c:pt idx="71">
                  <c:v>-1.0051583057122873</c:v>
                </c:pt>
                <c:pt idx="72">
                  <c:v>-0.95191587592254934</c:v>
                </c:pt>
                <c:pt idx="73">
                  <c:v>-0.974024412678973</c:v>
                </c:pt>
                <c:pt idx="74">
                  <c:v>-0.99717436357959033</c:v>
                </c:pt>
                <c:pt idx="75">
                  <c:v>-1.0357931710952317</c:v>
                </c:pt>
                <c:pt idx="76">
                  <c:v>-1.0948118480868321</c:v>
                </c:pt>
                <c:pt idx="77">
                  <c:v>-0.98163648158261707</c:v>
                </c:pt>
                <c:pt idx="78">
                  <c:v>-0.96916899812162638</c:v>
                </c:pt>
                <c:pt idx="79">
                  <c:v>-1.0927791451651432</c:v>
                </c:pt>
                <c:pt idx="80">
                  <c:v>-1.1180746722562809</c:v>
                </c:pt>
                <c:pt idx="81">
                  <c:v>-1.1194042994620941</c:v>
                </c:pt>
                <c:pt idx="82">
                  <c:v>-1.0887218726463965</c:v>
                </c:pt>
                <c:pt idx="83">
                  <c:v>-1.038367192791789</c:v>
                </c:pt>
                <c:pt idx="84">
                  <c:v>-0.91261012386348928</c:v>
                </c:pt>
                <c:pt idx="85">
                  <c:v>-0.91057697882155031</c:v>
                </c:pt>
                <c:pt idx="86">
                  <c:v>-0.91093959896539667</c:v>
                </c:pt>
                <c:pt idx="87">
                  <c:v>-0.97998123288299344</c:v>
                </c:pt>
                <c:pt idx="88">
                  <c:v>-0.96779201621776245</c:v>
                </c:pt>
                <c:pt idx="89">
                  <c:v>-0.9539060663151091</c:v>
                </c:pt>
                <c:pt idx="90">
                  <c:v>-0.96371275582196969</c:v>
                </c:pt>
                <c:pt idx="91">
                  <c:v>-0.90056531729973632</c:v>
                </c:pt>
                <c:pt idx="92">
                  <c:v>-0.77147187121731053</c:v>
                </c:pt>
                <c:pt idx="93">
                  <c:v>-0.77169826086655358</c:v>
                </c:pt>
                <c:pt idx="94">
                  <c:v>-0.87557862885903881</c:v>
                </c:pt>
                <c:pt idx="95">
                  <c:v>-0.94975094718449105</c:v>
                </c:pt>
                <c:pt idx="96">
                  <c:v>-0.95870980626116131</c:v>
                </c:pt>
                <c:pt idx="97">
                  <c:v>-1.0801575872043094</c:v>
                </c:pt>
                <c:pt idx="98">
                  <c:v>-1.0795785513982747</c:v>
                </c:pt>
                <c:pt idx="99">
                  <c:v>-1.0946654816685575</c:v>
                </c:pt>
                <c:pt idx="100">
                  <c:v>-1.1130686566878194</c:v>
                </c:pt>
                <c:pt idx="101">
                  <c:v>-0.74968702845392399</c:v>
                </c:pt>
                <c:pt idx="102">
                  <c:v>-0.77400873690373562</c:v>
                </c:pt>
                <c:pt idx="103">
                  <c:v>-0.75537252560859303</c:v>
                </c:pt>
                <c:pt idx="104">
                  <c:v>-0.75385267974003878</c:v>
                </c:pt>
                <c:pt idx="105">
                  <c:v>-0.63566612687444057</c:v>
                </c:pt>
                <c:pt idx="106">
                  <c:v>-0.57150002675470335</c:v>
                </c:pt>
                <c:pt idx="107">
                  <c:v>-0.48897997625320422</c:v>
                </c:pt>
              </c:numCache>
            </c:numRef>
          </c:val>
          <c:smooth val="0"/>
          <c:extLst>
            <c:ext xmlns:c16="http://schemas.microsoft.com/office/drawing/2014/chart" uri="{C3380CC4-5D6E-409C-BE32-E72D297353CC}">
              <c16:uniqueId val="{00000000-6C77-4E3F-97C6-3F90078B616D}"/>
            </c:ext>
          </c:extLst>
        </c:ser>
        <c:ser>
          <c:idx val="2"/>
          <c:order val="2"/>
          <c:tx>
            <c:strRef>
              <c:f>'AC3'!$I$1</c:f>
              <c:strCache>
                <c:ptCount val="1"/>
                <c:pt idx="0">
                  <c:v>BP Beta</c:v>
                </c:pt>
              </c:strCache>
            </c:strRef>
          </c:tx>
          <c:spPr>
            <a:ln w="28575" cap="rnd">
              <a:solidFill>
                <a:srgbClr val="8B4513"/>
              </a:solidFill>
              <a:round/>
            </a:ln>
            <a:effectLst/>
          </c:spPr>
          <c:marker>
            <c:symbol val="none"/>
          </c:marker>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'AC3'!$I$2:$I$109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1.0164371042161231</c:v>
                </c:pt>
                <c:pt idx="61">
                  <c:v>1.1143612791544171</c:v>
                </c:pt>
                <c:pt idx="62">
                  <c:v>1.1542197603102256</c:v>
                </c:pt>
                <c:pt idx="63">
                  <c:v>1.2507951024672173</c:v>
                </c:pt>
                <c:pt idx="64">
                  <c:v>1.2164199239358902</c:v>
                </c:pt>
                <c:pt idx="65">
                  <c:v>1.171131519318432</c:v>
                </c:pt>
                <c:pt idx="66">
                  <c:v>1.0453025778094474</c:v>
                </c:pt>
                <c:pt idx="67">
                  <c:v>0.84393144516405538</c:v>
                </c:pt>
                <c:pt idx="68">
                  <c:v>0.91661295228229267</c:v>
                </c:pt>
                <c:pt idx="69">
                  <c:v>1.0337717008022782</c:v>
                </c:pt>
                <c:pt idx="70">
                  <c:v>0.99773532044895374</c:v>
                </c:pt>
                <c:pt idx="71">
                  <c:v>1.0073281961009064</c:v>
                </c:pt>
                <c:pt idx="72">
                  <c:v>1.0971735753408567</c:v>
                </c:pt>
                <c:pt idx="73">
                  <c:v>0.99578744713349465</c:v>
                </c:pt>
                <c:pt idx="74">
                  <c:v>0.98069706797742628</c:v>
                </c:pt>
                <c:pt idx="75">
                  <c:v>1.0318645884795115</c:v>
                </c:pt>
                <c:pt idx="76">
                  <c:v>1.0492317027923797</c:v>
                </c:pt>
                <c:pt idx="77">
                  <c:v>1.3282294061181859</c:v>
                </c:pt>
                <c:pt idx="78">
                  <c:v>1.3731839261575076</c:v>
                </c:pt>
                <c:pt idx="79">
                  <c:v>1.3047660574640281</c:v>
                </c:pt>
                <c:pt idx="80">
                  <c:v>1.3816626866245743</c:v>
                </c:pt>
                <c:pt idx="81">
                  <c:v>1.4640925548832731</c:v>
                </c:pt>
                <c:pt idx="82">
                  <c:v>1.3084734848773136</c:v>
                </c:pt>
                <c:pt idx="83">
                  <c:v>1.2483252094764468</c:v>
                </c:pt>
                <c:pt idx="84">
                  <c:v>0.88230566849050618</c:v>
                </c:pt>
                <c:pt idx="85">
                  <c:v>0.889749949644983</c:v>
                </c:pt>
                <c:pt idx="86">
                  <c:v>0.87925885871939868</c:v>
                </c:pt>
                <c:pt idx="87">
                  <c:v>0.79478666881806337</c:v>
                </c:pt>
                <c:pt idx="88">
                  <c:v>0.81809496028827955</c:v>
                </c:pt>
                <c:pt idx="89">
                  <c:v>0.82527151923884323</c:v>
                </c:pt>
                <c:pt idx="90">
                  <c:v>0.82052588333772514</c:v>
                </c:pt>
                <c:pt idx="91">
                  <c:v>0.89253144147692809</c:v>
                </c:pt>
                <c:pt idx="92">
                  <c:v>0.8980605774680247</c:v>
                </c:pt>
                <c:pt idx="93">
                  <c:v>0.91594046264524376</c:v>
                </c:pt>
                <c:pt idx="94">
                  <c:v>0.86229064367819164</c:v>
                </c:pt>
                <c:pt idx="95">
                  <c:v>0.86134776235770516</c:v>
                </c:pt>
                <c:pt idx="96">
                  <c:v>0.78170630127682306</c:v>
                </c:pt>
                <c:pt idx="97">
                  <c:v>0.81718638691581025</c:v>
                </c:pt>
                <c:pt idx="98">
                  <c:v>0.85865678109323507</c:v>
                </c:pt>
                <c:pt idx="99">
                  <c:v>0.89539725577266549</c:v>
                </c:pt>
                <c:pt idx="100">
                  <c:v>1.0198463456535511</c:v>
                </c:pt>
                <c:pt idx="101">
                  <c:v>1.0377647290964078</c:v>
                </c:pt>
                <c:pt idx="102">
                  <c:v>1.0737874296507641</c:v>
                </c:pt>
                <c:pt idx="103">
                  <c:v>1.0507585149497536</c:v>
                </c:pt>
                <c:pt idx="104">
                  <c:v>1.0494307865771404</c:v>
                </c:pt>
                <c:pt idx="105">
                  <c:v>0.9955796513584928</c:v>
                </c:pt>
                <c:pt idx="106">
                  <c:v>0.93120345458301479</c:v>
                </c:pt>
                <c:pt idx="107">
                  <c:v>0.96661625783434424</c:v>
                </c:pt>
              </c:numCache>
            </c:numRef>
          </c:val>
          <c:smooth val="0"/>
          <c:extLst>
            <c:ext xmlns:c16="http://schemas.microsoft.com/office/drawing/2014/chart" uri="{C3380CC4-5D6E-409C-BE32-E72D297353CC}">
              <c16:uniqueId val="{00000000-0C65-4170-A0C7-87802251CE04}"/>
            </c:ext>
          </c:extLst>
        </c:ser>
        <c:ser>
          <c:idx val="3"/>
          <c:order val="3"/>
          <c:tx>
            <c:strRef>
              <c:f>'AC3'!$J$1</c:f>
              <c:strCache>
                <c:ptCount val="1"/>
                <c:pt idx="0">
                  <c:v>Tata Motors Beta</c:v>
                </c:pt>
              </c:strCache>
            </c:strRef>
          </c:tx>
          <c:spPr>
            <a:ln w="28575" cap="rnd">
              <a:solidFill>
                <a:srgbClr val="5E838C"/>
              </a:solidFill>
              <a:round/>
            </a:ln>
            <a:effectLst/>
          </c:spPr>
          <c:marker>
            <c:symbol val="none"/>
          </c:marker>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'AC3'!$J$2:$J$109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1.0052827715223251</c:v>
                </c:pt>
                <c:pt idx="61">
                  <c:v>0.90252146470996986</c:v>
                </c:pt>
                <c:pt idx="62">
                  <c:v>0.9658387847918829</c:v>
                </c:pt>
                <c:pt idx="63">
                  <c:v>0.63594984253558706</c:v>
                </c:pt>
                <c:pt idx="64">
                  <c:v>0.74152389058241686</c:v>
                </c:pt>
                <c:pt idx="65">
                  <c:v>0.82645730629146397</c:v>
                </c:pt>
                <c:pt idx="66">
                  <c:v>0.95343099174562829</c:v>
                </c:pt>
                <c:pt idx="67">
                  <c:v>1.0068442466222634</c:v>
                </c:pt>
                <c:pt idx="68">
                  <c:v>0.57862025395424332</c:v>
                </c:pt>
                <c:pt idx="69">
                  <c:v>0.5429149692968811</c:v>
                </c:pt>
                <c:pt idx="70">
                  <c:v>0.47292797139193943</c:v>
                </c:pt>
                <c:pt idx="71">
                  <c:v>0.33017827318704673</c:v>
                </c:pt>
                <c:pt idx="72">
                  <c:v>0.37375151226950903</c:v>
                </c:pt>
                <c:pt idx="73">
                  <c:v>3.5151122582227801E-2</c:v>
                </c:pt>
                <c:pt idx="74">
                  <c:v>0.26611491391203262</c:v>
                </c:pt>
                <c:pt idx="75">
                  <c:v>0.18801138978550941</c:v>
                </c:pt>
                <c:pt idx="76">
                  <c:v>9.0574933319140946E-2</c:v>
                </c:pt>
                <c:pt idx="77">
                  <c:v>0.27866850190024245</c:v>
                </c:pt>
                <c:pt idx="78">
                  <c:v>0.30358448260081228</c:v>
                </c:pt>
                <c:pt idx="79">
                  <c:v>0.28385001236001606</c:v>
                </c:pt>
                <c:pt idx="80">
                  <c:v>0.3858169613287285</c:v>
                </c:pt>
                <c:pt idx="81">
                  <c:v>0.65284064600124414</c:v>
                </c:pt>
                <c:pt idx="82">
                  <c:v>0.66946867165968826</c:v>
                </c:pt>
                <c:pt idx="83">
                  <c:v>0.81305041671939005</c:v>
                </c:pt>
                <c:pt idx="84">
                  <c:v>0.79669863671886998</c:v>
                </c:pt>
                <c:pt idx="85">
                  <c:v>0.76678324374758866</c:v>
                </c:pt>
                <c:pt idx="86">
                  <c:v>0.75909989983324944</c:v>
                </c:pt>
                <c:pt idx="87">
                  <c:v>0.72732876623737108</c:v>
                </c:pt>
                <c:pt idx="88">
                  <c:v>0.51827017581167478</c:v>
                </c:pt>
                <c:pt idx="89">
                  <c:v>0.5311484230440332</c:v>
                </c:pt>
                <c:pt idx="90">
                  <c:v>0.51678897864875328</c:v>
                </c:pt>
                <c:pt idx="91">
                  <c:v>0.5700041263507446</c:v>
                </c:pt>
                <c:pt idx="92">
                  <c:v>0.56018780880694208</c:v>
                </c:pt>
                <c:pt idx="93">
                  <c:v>0.53694967957303852</c:v>
                </c:pt>
                <c:pt idx="94">
                  <c:v>0.42195809824177011</c:v>
                </c:pt>
                <c:pt idx="95">
                  <c:v>0.51540828350439361</c:v>
                </c:pt>
                <c:pt idx="96">
                  <c:v>0.41669213945583111</c:v>
                </c:pt>
                <c:pt idx="97">
                  <c:v>0.16341500586227733</c:v>
                </c:pt>
                <c:pt idx="98">
                  <c:v>0.11867075876854639</c:v>
                </c:pt>
                <c:pt idx="99">
                  <c:v>0.11842442334147399</c:v>
                </c:pt>
                <c:pt idx="100">
                  <c:v>-5.2880749753230781E-2</c:v>
                </c:pt>
                <c:pt idx="101">
                  <c:v>-7.5906228963393829E-2</c:v>
                </c:pt>
                <c:pt idx="102">
                  <c:v>-0.1197844507909385</c:v>
                </c:pt>
                <c:pt idx="103">
                  <c:v>-0.15610233223401743</c:v>
                </c:pt>
                <c:pt idx="104">
                  <c:v>-0.20798720866505993</c:v>
                </c:pt>
                <c:pt idx="105">
                  <c:v>-0.13070644267326212</c:v>
                </c:pt>
                <c:pt idx="106">
                  <c:v>-0.11282400921132976</c:v>
                </c:pt>
                <c:pt idx="107">
                  <c:v>0.20186849769460127</c:v>
                </c:pt>
              </c:numCache>
            </c:numRef>
          </c:val>
          <c:smooth val="0"/>
          <c:extLst>
            <c:ext xmlns:c16="http://schemas.microsoft.com/office/drawing/2014/chart" uri="{C3380CC4-5D6E-409C-BE32-E72D297353CC}">
              <c16:uniqueId val="{00000001-0C65-4170-A0C7-87802251CE04}"/>
            </c:ext>
          </c:extLst>
        </c:ser>
        <c:ser>
          <c:idx val="4"/>
          <c:order val="4"/>
          <c:tx>
            <c:strRef>
              <c:f>'AC3'!$K$1</c:f>
              <c:strCache>
                <c:ptCount val="1"/>
                <c:pt idx="0">
                  <c:v>Vestas Beta</c:v>
                </c:pt>
              </c:strCache>
            </c:strRef>
          </c:tx>
          <c:spPr>
            <a:ln w="28575" cap="rnd">
              <a:solidFill>
                <a:srgbClr val="8CA83E"/>
              </a:solidFill>
              <a:round/>
            </a:ln>
            <a:effectLst/>
          </c:spPr>
          <c:marker>
            <c:symbol val="none"/>
          </c:marker>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'AC3'!$K$2:$K$109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-2.3172046980597458</c:v>
                </c:pt>
                <c:pt idx="61">
                  <c:v>-2.513661463851673</c:v>
                </c:pt>
                <c:pt idx="62">
                  <c:v>-2.3986668113678409</c:v>
                </c:pt>
                <c:pt idx="63">
                  <c:v>-2.32242721477615</c:v>
                </c:pt>
                <c:pt idx="64">
                  <c:v>-2.401914739177216</c:v>
                </c:pt>
                <c:pt idx="65">
                  <c:v>-2.339359715147205</c:v>
                </c:pt>
                <c:pt idx="66">
                  <c:v>-2.5508205662556032</c:v>
                </c:pt>
                <c:pt idx="67">
                  <c:v>-2.642429928610794</c:v>
                </c:pt>
                <c:pt idx="68">
                  <c:v>-2.5521181733758476</c:v>
                </c:pt>
                <c:pt idx="69">
                  <c:v>-2.8635141780267288</c:v>
                </c:pt>
                <c:pt idx="70">
                  <c:v>-2.8227429305477689</c:v>
                </c:pt>
                <c:pt idx="71">
                  <c:v>-2.8230920876685293</c:v>
                </c:pt>
                <c:pt idx="72">
                  <c:v>-2.6691032182660073</c:v>
                </c:pt>
                <c:pt idx="73">
                  <c:v>-2.5656747813120218</c:v>
                </c:pt>
                <c:pt idx="74">
                  <c:v>-2.5875505422331084</c:v>
                </c:pt>
                <c:pt idx="75">
                  <c:v>-2.6934911762780689</c:v>
                </c:pt>
                <c:pt idx="76">
                  <c:v>-2.8345991991390576</c:v>
                </c:pt>
                <c:pt idx="77">
                  <c:v>-2.6352760714881258</c:v>
                </c:pt>
                <c:pt idx="78">
                  <c:v>-2.528830658231394</c:v>
                </c:pt>
                <c:pt idx="79">
                  <c:v>-2.7001983458701506</c:v>
                </c:pt>
                <c:pt idx="80">
                  <c:v>-2.8627328697255447</c:v>
                </c:pt>
                <c:pt idx="81">
                  <c:v>-3.0695826482973461</c:v>
                </c:pt>
                <c:pt idx="82">
                  <c:v>-3.0762871059450307</c:v>
                </c:pt>
                <c:pt idx="83">
                  <c:v>-2.9148622502103843</c:v>
                </c:pt>
                <c:pt idx="84">
                  <c:v>-2.4969205079016832</c:v>
                </c:pt>
                <c:pt idx="85">
                  <c:v>-2.4729244287079681</c:v>
                </c:pt>
                <c:pt idx="86">
                  <c:v>-2.5155168562609345</c:v>
                </c:pt>
                <c:pt idx="87">
                  <c:v>-2.8255044022830504</c:v>
                </c:pt>
                <c:pt idx="88">
                  <c:v>-2.7275539519453047</c:v>
                </c:pt>
                <c:pt idx="89">
                  <c:v>-2.6817740315134193</c:v>
                </c:pt>
                <c:pt idx="90">
                  <c:v>-2.7061336654036152</c:v>
                </c:pt>
                <c:pt idx="91">
                  <c:v>-2.5653370769674222</c:v>
                </c:pt>
                <c:pt idx="92">
                  <c:v>-2.0770418243873783</c:v>
                </c:pt>
                <c:pt idx="93">
                  <c:v>-2.0908178344765926</c:v>
                </c:pt>
                <c:pt idx="94">
                  <c:v>-2.4233678657393574</c:v>
                </c:pt>
                <c:pt idx="95">
                  <c:v>-2.8029789613999725</c:v>
                </c:pt>
                <c:pt idx="96">
                  <c:v>-2.8466060241722118</c:v>
                </c:pt>
                <c:pt idx="97">
                  <c:v>-3.1102397187208792</c:v>
                </c:pt>
                <c:pt idx="98">
                  <c:v>-3.106091904025758</c:v>
                </c:pt>
                <c:pt idx="99">
                  <c:v>-3.1539752238668051</c:v>
                </c:pt>
                <c:pt idx="100">
                  <c:v>-3.2223393712814636</c:v>
                </c:pt>
                <c:pt idx="101">
                  <c:v>-2.1047845421627511</c:v>
                </c:pt>
                <c:pt idx="102">
                  <c:v>-2.1710211554570042</c:v>
                </c:pt>
                <c:pt idx="103">
                  <c:v>-2.0680325071032373</c:v>
                </c:pt>
                <c:pt idx="104">
                  <c:v>-2.0510406991522618</c:v>
                </c:pt>
                <c:pt idx="105">
                  <c:v>-1.6486890673103949</c:v>
                </c:pt>
                <c:pt idx="106">
                  <c:v>-1.5128431300450775</c:v>
                </c:pt>
                <c:pt idx="107">
                  <c:v>-1.3250020382789183</c:v>
                </c:pt>
              </c:numCache>
            </c:numRef>
          </c:val>
          <c:smooth val="0"/>
          <c:extLst>
            <c:ext xmlns:c16="http://schemas.microsoft.com/office/drawing/2014/chart" uri="{C3380CC4-5D6E-409C-BE32-E72D297353CC}">
              <c16:uniqueId val="{00000002-0C65-4170-A0C7-87802251CE04}"/>
            </c:ext>
          </c:extLst>
        </c:ser>
        <c:ser>
          <c:idx val="5"/>
          <c:order val="5"/>
          <c:tx>
            <c:strRef>
              <c:f>'AC3'!$L$1</c:f>
              <c:strCache>
                <c:ptCount val="1"/>
                <c:pt idx="0">
                  <c:v>Toyota Beta</c:v>
                </c:pt>
              </c:strCache>
            </c:strRef>
          </c:tx>
          <c:spPr>
            <a:ln w="28575" cap="rnd">
              <a:solidFill>
                <a:schemeClr val="accent2"/>
              </a:solidFill>
              <a:round/>
            </a:ln>
            <a:effectLst/>
          </c:spPr>
          <c:marker>
            <c:symbol val="none"/>
          </c:marker>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'AC3'!$L$2:$L$109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-0.77920898980000952</c:v>
                </c:pt>
                <c:pt idx="61">
                  <c:v>-0.86521384771873311</c:v>
                </c:pt>
                <c:pt idx="62">
                  <c:v>-0.87997954958112523</c:v>
                </c:pt>
                <c:pt idx="63">
                  <c:v>-0.90814020705184917</c:v>
                </c:pt>
                <c:pt idx="64">
                  <c:v>-0.87766091047988271</c:v>
                </c:pt>
                <c:pt idx="65">
                  <c:v>-0.82821628112063417</c:v>
                </c:pt>
                <c:pt idx="66">
                  <c:v>-0.83346209296462315</c:v>
                </c:pt>
                <c:pt idx="67">
                  <c:v>-0.76759932809143183</c:v>
                </c:pt>
                <c:pt idx="68">
                  <c:v>-0.81040894080181503</c:v>
                </c:pt>
                <c:pt idx="69">
                  <c:v>-0.8393069093503569</c:v>
                </c:pt>
                <c:pt idx="70">
                  <c:v>-0.81411086514791509</c:v>
                </c:pt>
                <c:pt idx="71">
                  <c:v>-1.0270057734730984</c:v>
                </c:pt>
                <c:pt idx="72">
                  <c:v>-1.0073150609117265</c:v>
                </c:pt>
                <c:pt idx="73">
                  <c:v>-1.1319851867489894</c:v>
                </c:pt>
                <c:pt idx="74">
                  <c:v>-1.3169038077250397</c:v>
                </c:pt>
                <c:pt idx="75">
                  <c:v>-1.2759839221446263</c:v>
                </c:pt>
                <c:pt idx="76">
                  <c:v>-1.2980987066797958</c:v>
                </c:pt>
                <c:pt idx="77">
                  <c:v>-1.2773496776663997</c:v>
                </c:pt>
                <c:pt idx="78">
                  <c:v>-1.3520609225558349</c:v>
                </c:pt>
                <c:pt idx="79">
                  <c:v>-1.4832458727498397</c:v>
                </c:pt>
                <c:pt idx="80">
                  <c:v>-1.4600732103655467</c:v>
                </c:pt>
                <c:pt idx="81">
                  <c:v>-1.456189390007899</c:v>
                </c:pt>
                <c:pt idx="82">
                  <c:v>-1.3585240934334608</c:v>
                </c:pt>
                <c:pt idx="83">
                  <c:v>-1.3240161129375061</c:v>
                </c:pt>
                <c:pt idx="84">
                  <c:v>-1.2444497605166789</c:v>
                </c:pt>
                <c:pt idx="85">
                  <c:v>-1.2512402739650672</c:v>
                </c:pt>
                <c:pt idx="86">
                  <c:v>-1.2139762544129027</c:v>
                </c:pt>
                <c:pt idx="87">
                  <c:v>-1.2247649516880932</c:v>
                </c:pt>
                <c:pt idx="88">
                  <c:v>-1.2130073935671986</c:v>
                </c:pt>
                <c:pt idx="89">
                  <c:v>-1.2140149400361786</c:v>
                </c:pt>
                <c:pt idx="90">
                  <c:v>-1.1950976460558522</c:v>
                </c:pt>
                <c:pt idx="91">
                  <c:v>-1.1613011946759935</c:v>
                </c:pt>
                <c:pt idx="92">
                  <c:v>-1.2077843701743995</c:v>
                </c:pt>
                <c:pt idx="93">
                  <c:v>-1.2007814290922041</c:v>
                </c:pt>
                <c:pt idx="94">
                  <c:v>-1.1623460046089309</c:v>
                </c:pt>
                <c:pt idx="95">
                  <c:v>-1.0476002377668208</c:v>
                </c:pt>
                <c:pt idx="96">
                  <c:v>-0.98743727077009003</c:v>
                </c:pt>
                <c:pt idx="97">
                  <c:v>-1.0965204918420957</c:v>
                </c:pt>
                <c:pt idx="98">
                  <c:v>-1.0972664880404446</c:v>
                </c:pt>
                <c:pt idx="99">
                  <c:v>-1.0896486913056518</c:v>
                </c:pt>
                <c:pt idx="100">
                  <c:v>-0.99751580917117399</c:v>
                </c:pt>
                <c:pt idx="101">
                  <c:v>-0.95629816801192347</c:v>
                </c:pt>
                <c:pt idx="102">
                  <c:v>-0.92238029161950474</c:v>
                </c:pt>
                <c:pt idx="103">
                  <c:v>-0.94304038351447694</c:v>
                </c:pt>
                <c:pt idx="104">
                  <c:v>-0.952497262493601</c:v>
                </c:pt>
                <c:pt idx="105">
                  <c:v>-0.96379702437234749</c:v>
                </c:pt>
                <c:pt idx="106">
                  <c:v>-0.92788032793440134</c:v>
                </c:pt>
                <c:pt idx="107">
                  <c:v>-0.96281055275183647</c:v>
                </c:pt>
              </c:numCache>
            </c:numRef>
          </c:val>
          <c:smooth val="0"/>
          <c:extLst>
            <c:ext xmlns:c16="http://schemas.microsoft.com/office/drawing/2014/chart" uri="{C3380CC4-5D6E-409C-BE32-E72D297353CC}">
              <c16:uniqueId val="{00000003-0C65-4170-A0C7-87802251CE04}"/>
            </c:ext>
          </c:extLst>
        </c:ser>
        <c:ser>
          <c:idx val="6"/>
          <c:order val="6"/>
          <c:tx>
            <c:strRef>
              <c:f>'AC3'!$M$1</c:f>
              <c:strCache>
                <c:ptCount val="1"/>
                <c:pt idx="0">
                  <c:v>IBM Beta</c:v>
                </c:pt>
              </c:strCache>
            </c:strRef>
          </c:tx>
          <c:spPr>
            <a:ln w="28575" cap="rnd">
              <a:solidFill>
                <a:schemeClr val="accent1">
                  <a:lumMod val="60000"/>
                </a:schemeClr>
              </a:solidFill>
              <a:round/>
            </a:ln>
            <a:effectLst/>
          </c:spPr>
          <c:marker>
            <c:symbol val="none"/>
          </c:marker>
          <c:cat>
            <c:numRef>
              <c:f>'AC3'!$F$2:$F$109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'AC3'!$M$2:$M$109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3.8776999486300909E-2</c:v>
                </c:pt>
                <c:pt idx="61">
                  <c:v>-1.7094814960225337E-2</c:v>
                </c:pt>
                <c:pt idx="62">
                  <c:v>-4.4420021631175373E-2</c:v>
                </c:pt>
                <c:pt idx="63">
                  <c:v>3.4184197677994889E-2</c:v>
                </c:pt>
                <c:pt idx="64">
                  <c:v>3.0245258913664027E-2</c:v>
                </c:pt>
                <c:pt idx="65">
                  <c:v>4.2006297494215639E-2</c:v>
                </c:pt>
                <c:pt idx="66">
                  <c:v>4.7660382452725018E-2</c:v>
                </c:pt>
                <c:pt idx="67">
                  <c:v>8.2715851270411131E-2</c:v>
                </c:pt>
                <c:pt idx="68">
                  <c:v>9.8114250838025413E-2</c:v>
                </c:pt>
                <c:pt idx="69">
                  <c:v>0.13070988142195283</c:v>
                </c:pt>
                <c:pt idx="70">
                  <c:v>9.4147266128582693E-2</c:v>
                </c:pt>
                <c:pt idx="71">
                  <c:v>8.0602028507029383E-2</c:v>
                </c:pt>
                <c:pt idx="72">
                  <c:v>1.9585495348668897E-2</c:v>
                </c:pt>
                <c:pt idx="73">
                  <c:v>0.16089860383878998</c:v>
                </c:pt>
                <c:pt idx="74">
                  <c:v>0.24740371609454295</c:v>
                </c:pt>
                <c:pt idx="75">
                  <c:v>0.16530880302537224</c:v>
                </c:pt>
                <c:pt idx="76">
                  <c:v>0.15508430023835462</c:v>
                </c:pt>
                <c:pt idx="77">
                  <c:v>0.15730726180948901</c:v>
                </c:pt>
                <c:pt idx="78">
                  <c:v>0.13710817619355262</c:v>
                </c:pt>
                <c:pt idx="79">
                  <c:v>1.6962567192247435E-2</c:v>
                </c:pt>
                <c:pt idx="80">
                  <c:v>1.0095934878583322E-2</c:v>
                </c:pt>
                <c:pt idx="81">
                  <c:v>0.13316995970513734</c:v>
                </c:pt>
                <c:pt idx="82">
                  <c:v>0.2196363575672535</c:v>
                </c:pt>
                <c:pt idx="83">
                  <c:v>0.13579376766497206</c:v>
                </c:pt>
                <c:pt idx="84">
                  <c:v>0.20950263070541075</c:v>
                </c:pt>
                <c:pt idx="85">
                  <c:v>0.20509556320551398</c:v>
                </c:pt>
                <c:pt idx="86">
                  <c:v>0.22036229190744797</c:v>
                </c:pt>
                <c:pt idx="87">
                  <c:v>0.41444014901403065</c:v>
                </c:pt>
                <c:pt idx="88">
                  <c:v>0.40369936912996485</c:v>
                </c:pt>
                <c:pt idx="89">
                  <c:v>0.39594315460741064</c:v>
                </c:pt>
                <c:pt idx="90">
                  <c:v>0.36462575708611411</c:v>
                </c:pt>
                <c:pt idx="91">
                  <c:v>0.35586303705260774</c:v>
                </c:pt>
                <c:pt idx="92">
                  <c:v>0.34075574261863129</c:v>
                </c:pt>
                <c:pt idx="93">
                  <c:v>0.35246251991128541</c:v>
                </c:pt>
                <c:pt idx="94">
                  <c:v>0.3585532902672563</c:v>
                </c:pt>
                <c:pt idx="95">
                  <c:v>0.33873603989668027</c:v>
                </c:pt>
                <c:pt idx="96">
                  <c:v>0.35831669074131761</c:v>
                </c:pt>
                <c:pt idx="97">
                  <c:v>0.41905168343387866</c:v>
                </c:pt>
                <c:pt idx="98">
                  <c:v>0.41848106117703732</c:v>
                </c:pt>
                <c:pt idx="99">
                  <c:v>0.38519762485882897</c:v>
                </c:pt>
                <c:pt idx="100">
                  <c:v>0.28095668928969608</c:v>
                </c:pt>
                <c:pt idx="101">
                  <c:v>0.36225967292588629</c:v>
                </c:pt>
                <c:pt idx="102">
                  <c:v>0.29305699666617452</c:v>
                </c:pt>
                <c:pt idx="103">
                  <c:v>0.29241861652573797</c:v>
                </c:pt>
                <c:pt idx="104">
                  <c:v>0.31532175481256125</c:v>
                </c:pt>
                <c:pt idx="105">
                  <c:v>0.30796189880929453</c:v>
                </c:pt>
                <c:pt idx="106">
                  <c:v>0.39439533050985759</c:v>
                </c:pt>
                <c:pt idx="107">
                  <c:v>0.40257662751563678</c:v>
                </c:pt>
              </c:numCache>
            </c:numRef>
          </c:val>
          <c:smooth val="0"/>
          <c:extLst>
            <c:ext xmlns:c16="http://schemas.microsoft.com/office/drawing/2014/chart" uri="{C3380CC4-5D6E-409C-BE32-E72D297353CC}">
              <c16:uniqueId val="{00000004-0C65-4170-A0C7-87802251CE04}"/>
            </c:ext>
          </c:extLst>
        </c:ser>
        <c:dLbls>
          <c:showLegendKey val="0"/>
          <c:showVal val="0"/>
          <c:showCatName val="0"/>
          <c:showSerName val="0"/>
          <c:showPercent val="0"/>
          <c:showBubbleSize val="0"/>
        </c:dLbls>
        <c:marker val="1"/>
        <c:smooth val="0"/>
        <c:axId val="1581230344"/>
        <c:axId val="1581230016"/>
      </c:lineChart>
      <c:dateAx>
        <c:axId val="751882712"/>
        <c:scaling>
          <c:orientation val="minMax"/>
        </c:scaling>
        <c:delete val="0"/>
        <c:axPos val="b"/>
        <c:numFmt formatCode="[$-409]mmm\-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0"/>
        <c:lblOffset val="100"/>
        <c:baseTimeUnit val="months"/>
        <c:majorUnit val="6"/>
        <c:majorTimeUnit val="months"/>
      </c:dateAx>
      <c:valAx>
        <c:axId val="751885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valAx>
        <c:axId val="1581230016"/>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Carbon Beta</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1581230344"/>
        <c:crosses val="max"/>
        <c:crossBetween val="between"/>
      </c:valAx>
      <c:dateAx>
        <c:axId val="1581230344"/>
        <c:scaling>
          <c:orientation val="minMax"/>
        </c:scaling>
        <c:delete val="1"/>
        <c:axPos val="b"/>
        <c:numFmt formatCode="[$-409]mmm\-yy;@" sourceLinked="1"/>
        <c:majorTickMark val="out"/>
        <c:minorTickMark val="none"/>
        <c:tickLblPos val="nextTo"/>
        <c:crossAx val="1581230016"/>
        <c:crosses val="autoZero"/>
        <c:auto val="0"/>
        <c:lblOffset val="100"/>
        <c:baseTimeUnit val="months"/>
        <c:majorUnit val="1"/>
        <c:minorUnit val="1"/>
      </c:date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4170616937484E-2"/>
          <c:y val="8.6406652204902054E-2"/>
          <c:w val="0.82253931248486423"/>
          <c:h val="0.61424914446768364"/>
        </c:manualLayout>
      </c:layout>
      <c:barChart>
        <c:barDir val="col"/>
        <c:grouping val="clustered"/>
        <c:varyColors val="0"/>
        <c:ser>
          <c:idx val="0"/>
          <c:order val="0"/>
          <c:tx>
            <c:strRef>
              <c:f>AC!$AW$1</c:f>
              <c:strCache>
                <c:ptCount val="1"/>
                <c:pt idx="0">
                  <c:v>US GI World Precious Minerals</c:v>
                </c:pt>
              </c:strCache>
            </c:strRef>
          </c:tx>
          <c:spPr>
            <a:solidFill>
              <a:srgbClr val="8B4513"/>
            </a:solidFill>
            <a:ln>
              <a:noFill/>
            </a:ln>
            <a:effectLst/>
          </c:spPr>
          <c:invertIfNegative val="0"/>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AC!$AW$2:$AW$109</c:f>
              <c:numCache>
                <c:formatCode>0.00%</c:formatCode>
                <c:ptCount val="108"/>
                <c:pt idx="0">
                  <c:v>-9.5866799999999988E-2</c:v>
                </c:pt>
                <c:pt idx="1">
                  <c:v>7.1111099999999997E-2</c:v>
                </c:pt>
                <c:pt idx="2">
                  <c:v>4.9199799999999995E-2</c:v>
                </c:pt>
                <c:pt idx="3">
                  <c:v>9.8305100000000006E-2</c:v>
                </c:pt>
                <c:pt idx="4">
                  <c:v>-7.8703700000000001E-2</c:v>
                </c:pt>
                <c:pt idx="5">
                  <c:v>5.5829999999999996E-4</c:v>
                </c:pt>
                <c:pt idx="6">
                  <c:v>-2.3995499999999999E-2</c:v>
                </c:pt>
                <c:pt idx="7">
                  <c:v>8.5763300000000001E-2</c:v>
                </c:pt>
                <c:pt idx="8">
                  <c:v>0.13954710000000001</c:v>
                </c:pt>
                <c:pt idx="9">
                  <c:v>4.80591E-2</c:v>
                </c:pt>
                <c:pt idx="10">
                  <c:v>7.2751300000000005E-2</c:v>
                </c:pt>
                <c:pt idx="11">
                  <c:v>4.0875099999999998E-2</c:v>
                </c:pt>
                <c:pt idx="12">
                  <c:v>-0.10098739999999999</c:v>
                </c:pt>
                <c:pt idx="13">
                  <c:v>8.8367400000000013E-2</c:v>
                </c:pt>
                <c:pt idx="14">
                  <c:v>-1.3761499999999999E-2</c:v>
                </c:pt>
                <c:pt idx="15">
                  <c:v>2.1395300000000003E-2</c:v>
                </c:pt>
                <c:pt idx="16">
                  <c:v>-8.0145700000000014E-2</c:v>
                </c:pt>
                <c:pt idx="17">
                  <c:v>-9.5544600000000007E-2</c:v>
                </c:pt>
                <c:pt idx="18">
                  <c:v>4.2145599999999998E-2</c:v>
                </c:pt>
                <c:pt idx="19">
                  <c:v>-1.10294E-2</c:v>
                </c:pt>
                <c:pt idx="20">
                  <c:v>-0.16569299999999998</c:v>
                </c:pt>
                <c:pt idx="21">
                  <c:v>9.7390199999999996E-2</c:v>
                </c:pt>
                <c:pt idx="22">
                  <c:v>-2.03016E-2</c:v>
                </c:pt>
                <c:pt idx="23">
                  <c:v>-0.11059200000000001</c:v>
                </c:pt>
                <c:pt idx="24">
                  <c:v>0.12215479999999999</c:v>
                </c:pt>
                <c:pt idx="25">
                  <c:v>-6.0851999999999998E-3</c:v>
                </c:pt>
                <c:pt idx="26">
                  <c:v>-9.795920000000001E-2</c:v>
                </c:pt>
                <c:pt idx="27">
                  <c:v>-5.80694E-2</c:v>
                </c:pt>
                <c:pt idx="28">
                  <c:v>-0.12890309999999999</c:v>
                </c:pt>
                <c:pt idx="29">
                  <c:v>-9.1912000000000001E-3</c:v>
                </c:pt>
                <c:pt idx="30">
                  <c:v>0</c:v>
                </c:pt>
                <c:pt idx="31">
                  <c:v>8.9053799999999989E-2</c:v>
                </c:pt>
                <c:pt idx="32">
                  <c:v>0.1379898</c:v>
                </c:pt>
                <c:pt idx="33">
                  <c:v>-2.3203600000000001E-2</c:v>
                </c:pt>
                <c:pt idx="34">
                  <c:v>-8.659E-2</c:v>
                </c:pt>
                <c:pt idx="35">
                  <c:v>-1.8456399999999998E-2</c:v>
                </c:pt>
                <c:pt idx="36">
                  <c:v>-5.8974399999999996E-2</c:v>
                </c:pt>
                <c:pt idx="37">
                  <c:v>-0.13623979999999999</c:v>
                </c:pt>
                <c:pt idx="38">
                  <c:v>-1.0514999999999999E-3</c:v>
                </c:pt>
                <c:pt idx="39">
                  <c:v>-0.17473680000000003</c:v>
                </c:pt>
                <c:pt idx="40">
                  <c:v>-6.7601999999999995E-2</c:v>
                </c:pt>
                <c:pt idx="41">
                  <c:v>-0.1805746</c:v>
                </c:pt>
                <c:pt idx="42">
                  <c:v>0.1218698</c:v>
                </c:pt>
                <c:pt idx="43">
                  <c:v>8.779759999999999E-2</c:v>
                </c:pt>
                <c:pt idx="44">
                  <c:v>-8.8919300000000007E-2</c:v>
                </c:pt>
                <c:pt idx="45">
                  <c:v>-3.6035999999999999E-2</c:v>
                </c:pt>
                <c:pt idx="46">
                  <c:v>-8.566979999999999E-2</c:v>
                </c:pt>
                <c:pt idx="47">
                  <c:v>-3.0664400000000001E-2</c:v>
                </c:pt>
                <c:pt idx="48">
                  <c:v>8.9630899999999999E-2</c:v>
                </c:pt>
                <c:pt idx="49">
                  <c:v>0.1532258</c:v>
                </c:pt>
                <c:pt idx="50">
                  <c:v>-8.9510500000000007E-2</c:v>
                </c:pt>
                <c:pt idx="51">
                  <c:v>6.1443999999999995E-3</c:v>
                </c:pt>
                <c:pt idx="52">
                  <c:v>-4.8855000000000003E-2</c:v>
                </c:pt>
                <c:pt idx="53">
                  <c:v>0.1845907</c:v>
                </c:pt>
                <c:pt idx="54">
                  <c:v>-4.2005399999999998E-2</c:v>
                </c:pt>
                <c:pt idx="55">
                  <c:v>-1.13154E-2</c:v>
                </c:pt>
                <c:pt idx="56">
                  <c:v>-0.17453510000000003</c:v>
                </c:pt>
                <c:pt idx="57">
                  <c:v>-0.17850950000000002</c:v>
                </c:pt>
                <c:pt idx="58">
                  <c:v>4.2193999999999999E-3</c:v>
                </c:pt>
                <c:pt idx="59">
                  <c:v>-2.1007999999999999E-3</c:v>
                </c:pt>
                <c:pt idx="60">
                  <c:v>7.1578900000000001E-2</c:v>
                </c:pt>
                <c:pt idx="61">
                  <c:v>-3.1434199999999995E-2</c:v>
                </c:pt>
                <c:pt idx="62">
                  <c:v>-0.10141989999999999</c:v>
                </c:pt>
                <c:pt idx="63">
                  <c:v>9.7065499999999999E-2</c:v>
                </c:pt>
                <c:pt idx="64">
                  <c:v>-2.05761E-2</c:v>
                </c:pt>
                <c:pt idx="65">
                  <c:v>-4.6218500000000003E-2</c:v>
                </c:pt>
                <c:pt idx="66">
                  <c:v>-0.12555070000000002</c:v>
                </c:pt>
                <c:pt idx="67">
                  <c:v>1.5113399999999999E-2</c:v>
                </c:pt>
                <c:pt idx="68">
                  <c:v>-2.97767E-2</c:v>
                </c:pt>
                <c:pt idx="69">
                  <c:v>5.6265999999999997E-2</c:v>
                </c:pt>
                <c:pt idx="70">
                  <c:v>-7.5060500000000002E-2</c:v>
                </c:pt>
                <c:pt idx="71">
                  <c:v>4.8972800000000004E-2</c:v>
                </c:pt>
                <c:pt idx="72">
                  <c:v>1.37363E-2</c:v>
                </c:pt>
                <c:pt idx="73">
                  <c:v>0.25474250000000004</c:v>
                </c:pt>
                <c:pt idx="74">
                  <c:v>9.9352099999999999E-2</c:v>
                </c:pt>
                <c:pt idx="75">
                  <c:v>0.31630649999999999</c:v>
                </c:pt>
                <c:pt idx="76">
                  <c:v>-1.04478E-2</c:v>
                </c:pt>
                <c:pt idx="77">
                  <c:v>0.16742080000000001</c:v>
                </c:pt>
                <c:pt idx="78">
                  <c:v>0.14341090000000001</c:v>
                </c:pt>
                <c:pt idx="79">
                  <c:v>-5.87571E-2</c:v>
                </c:pt>
                <c:pt idx="80">
                  <c:v>7.4429800000000004E-2</c:v>
                </c:pt>
                <c:pt idx="81">
                  <c:v>-0.1162011</c:v>
                </c:pt>
                <c:pt idx="82">
                  <c:v>-0.1795196</c:v>
                </c:pt>
                <c:pt idx="83">
                  <c:v>-1.8047299999999999E-2</c:v>
                </c:pt>
                <c:pt idx="84">
                  <c:v>0.14488190000000001</c:v>
                </c:pt>
                <c:pt idx="85">
                  <c:v>-3.0261300000000001E-2</c:v>
                </c:pt>
                <c:pt idx="86">
                  <c:v>-4.9645400000000006E-2</c:v>
                </c:pt>
                <c:pt idx="87">
                  <c:v>-7.0149299999999998E-2</c:v>
                </c:pt>
                <c:pt idx="88">
                  <c:v>-2.24719E-2</c:v>
                </c:pt>
                <c:pt idx="89">
                  <c:v>2.46305E-2</c:v>
                </c:pt>
                <c:pt idx="90">
                  <c:v>4.3269200000000001E-2</c:v>
                </c:pt>
                <c:pt idx="91">
                  <c:v>2.7649799999999999E-2</c:v>
                </c:pt>
                <c:pt idx="92">
                  <c:v>-3.2884900000000002E-2</c:v>
                </c:pt>
                <c:pt idx="93">
                  <c:v>-0.1020093</c:v>
                </c:pt>
                <c:pt idx="94">
                  <c:v>-2.7538699999999999E-2</c:v>
                </c:pt>
                <c:pt idx="95">
                  <c:v>7.7088900000000002E-2</c:v>
                </c:pt>
                <c:pt idx="96">
                  <c:v>1.49254E-2</c:v>
                </c:pt>
                <c:pt idx="97">
                  <c:v>-0.1323529</c:v>
                </c:pt>
                <c:pt idx="98">
                  <c:v>4.1162200000000003E-2</c:v>
                </c:pt>
                <c:pt idx="99">
                  <c:v>-2.0930199999999999E-2</c:v>
                </c:pt>
                <c:pt idx="100">
                  <c:v>-3.8004799999999998E-2</c:v>
                </c:pt>
                <c:pt idx="101">
                  <c:v>-6.1728399999999996E-2</c:v>
                </c:pt>
                <c:pt idx="102">
                  <c:v>1.0526299999999999E-2</c:v>
                </c:pt>
                <c:pt idx="103">
                  <c:v>-8.0729200000000001E-2</c:v>
                </c:pt>
                <c:pt idx="104">
                  <c:v>-1.4164300000000001E-2</c:v>
                </c:pt>
                <c:pt idx="105">
                  <c:v>-6.0344800000000004E-2</c:v>
                </c:pt>
                <c:pt idx="106">
                  <c:v>-6.1162099999999997E-2</c:v>
                </c:pt>
                <c:pt idx="107">
                  <c:v>4.3916199999999996E-2</c:v>
                </c:pt>
              </c:numCache>
            </c:numRef>
          </c:val>
          <c:extLst>
            <c:ext xmlns:c16="http://schemas.microsoft.com/office/drawing/2014/chart" uri="{C3380CC4-5D6E-409C-BE32-E72D297353CC}">
              <c16:uniqueId val="{00000000-3D14-4853-A0CD-24A7E0A306A1}"/>
            </c:ext>
          </c:extLst>
        </c:ser>
        <c:ser>
          <c:idx val="1"/>
          <c:order val="1"/>
          <c:tx>
            <c:strRef>
              <c:f>AC!$AX$1</c:f>
              <c:strCache>
                <c:ptCount val="1"/>
                <c:pt idx="0">
                  <c:v>iShares MSCI World ETF</c:v>
                </c:pt>
              </c:strCache>
            </c:strRef>
          </c:tx>
          <c:spPr>
            <a:solidFill>
              <a:srgbClr val="5E838C"/>
            </a:solidFill>
            <a:ln>
              <a:noFill/>
            </a:ln>
            <a:effectLst/>
          </c:spPr>
          <c:invertIfNegative val="0"/>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AC!$AX$2:$AX$109</c:f>
              <c:numCache>
                <c:formatCode>0.00%</c:formatCode>
                <c:ptCount val="108"/>
                <c:pt idx="0">
                  <c:v>-4.3945600000000001E-2</c:v>
                </c:pt>
                <c:pt idx="1">
                  <c:v>1.3324800000000001E-2</c:v>
                </c:pt>
                <c:pt idx="2">
                  <c:v>6.1012299999999998E-2</c:v>
                </c:pt>
                <c:pt idx="3">
                  <c:v>-5.9099999999999995E-4</c:v>
                </c:pt>
                <c:pt idx="4">
                  <c:v>-9.5416399999999998E-2</c:v>
                </c:pt>
                <c:pt idx="5">
                  <c:v>-3.6556600000000002E-2</c:v>
                </c:pt>
                <c:pt idx="6">
                  <c:v>8.0026100000000003E-2</c:v>
                </c:pt>
                <c:pt idx="7">
                  <c:v>-4.0145699999999999E-2</c:v>
                </c:pt>
                <c:pt idx="8">
                  <c:v>9.3349600000000005E-2</c:v>
                </c:pt>
                <c:pt idx="9">
                  <c:v>3.7404600000000003E-2</c:v>
                </c:pt>
                <c:pt idx="10">
                  <c:v>-2.2987899999999999E-2</c:v>
                </c:pt>
                <c:pt idx="11">
                  <c:v>7.3008400000000001E-2</c:v>
                </c:pt>
                <c:pt idx="12">
                  <c:v>2.3430699999999999E-2</c:v>
                </c:pt>
                <c:pt idx="13">
                  <c:v>3.5241500000000002E-2</c:v>
                </c:pt>
                <c:pt idx="14">
                  <c:v>-1.24458E-2</c:v>
                </c:pt>
                <c:pt idx="15">
                  <c:v>4.2289800000000002E-2</c:v>
                </c:pt>
                <c:pt idx="16">
                  <c:v>-2.0167099999999997E-2</c:v>
                </c:pt>
                <c:pt idx="17">
                  <c:v>-1.55715E-2</c:v>
                </c:pt>
                <c:pt idx="18">
                  <c:v>-1.9722799999999999E-2</c:v>
                </c:pt>
                <c:pt idx="19">
                  <c:v>-7.2060600000000002E-2</c:v>
                </c:pt>
                <c:pt idx="20">
                  <c:v>-8.5938500000000001E-2</c:v>
                </c:pt>
                <c:pt idx="21">
                  <c:v>0.1042193</c:v>
                </c:pt>
                <c:pt idx="22">
                  <c:v>-2.4925600000000003E-2</c:v>
                </c:pt>
                <c:pt idx="23">
                  <c:v>-8.8900000000000003E-4</c:v>
                </c:pt>
                <c:pt idx="24">
                  <c:v>4.9534599999999998E-2</c:v>
                </c:pt>
                <c:pt idx="25">
                  <c:v>4.8231500000000004E-2</c:v>
                </c:pt>
                <c:pt idx="26">
                  <c:v>1.28506E-2</c:v>
                </c:pt>
                <c:pt idx="27">
                  <c:v>-1.18896E-2</c:v>
                </c:pt>
                <c:pt idx="28">
                  <c:v>-8.5639199999999999E-2</c:v>
                </c:pt>
                <c:pt idx="29">
                  <c:v>5.1052400000000005E-2</c:v>
                </c:pt>
                <c:pt idx="30">
                  <c:v>1.2719299999999999E-2</c:v>
                </c:pt>
                <c:pt idx="31">
                  <c:v>2.50727E-2</c:v>
                </c:pt>
                <c:pt idx="32">
                  <c:v>2.7059099999999999E-2</c:v>
                </c:pt>
                <c:pt idx="33">
                  <c:v>-7.3531999999999998E-3</c:v>
                </c:pt>
                <c:pt idx="34">
                  <c:v>1.18656E-2</c:v>
                </c:pt>
                <c:pt idx="35">
                  <c:v>1.8587199999999998E-2</c:v>
                </c:pt>
                <c:pt idx="36">
                  <c:v>5.1010699999999999E-2</c:v>
                </c:pt>
                <c:pt idx="37">
                  <c:v>6.2659999999999994E-4</c:v>
                </c:pt>
                <c:pt idx="38">
                  <c:v>2.3660999999999998E-2</c:v>
                </c:pt>
                <c:pt idx="39">
                  <c:v>3.23962E-2</c:v>
                </c:pt>
                <c:pt idx="40">
                  <c:v>1.0242999999999999E-3</c:v>
                </c:pt>
                <c:pt idx="41">
                  <c:v>-2.5107599999999997E-2</c:v>
                </c:pt>
                <c:pt idx="42">
                  <c:v>5.2551399999999998E-2</c:v>
                </c:pt>
                <c:pt idx="43">
                  <c:v>-2.1673499999999998E-2</c:v>
                </c:pt>
                <c:pt idx="44">
                  <c:v>5.0047899999999999E-2</c:v>
                </c:pt>
                <c:pt idx="45">
                  <c:v>3.8718000000000002E-2</c:v>
                </c:pt>
                <c:pt idx="46">
                  <c:v>1.8204100000000001E-2</c:v>
                </c:pt>
                <c:pt idx="47">
                  <c:v>2.0657399999999999E-2</c:v>
                </c:pt>
                <c:pt idx="48">
                  <c:v>-3.7541600000000001E-2</c:v>
                </c:pt>
                <c:pt idx="49">
                  <c:v>4.9546400000000004E-2</c:v>
                </c:pt>
                <c:pt idx="50">
                  <c:v>1.5677E-3</c:v>
                </c:pt>
                <c:pt idx="51">
                  <c:v>1.05822E-2</c:v>
                </c:pt>
                <c:pt idx="52">
                  <c:v>1.9994000000000001E-2</c:v>
                </c:pt>
                <c:pt idx="53">
                  <c:v>1.7592699999999999E-2</c:v>
                </c:pt>
                <c:pt idx="54">
                  <c:v>-1.6139000000000001E-2</c:v>
                </c:pt>
                <c:pt idx="55">
                  <c:v>2.14909E-2</c:v>
                </c:pt>
                <c:pt idx="56">
                  <c:v>-2.6777799999999997E-2</c:v>
                </c:pt>
                <c:pt idx="57">
                  <c:v>6.0746000000000003E-3</c:v>
                </c:pt>
                <c:pt idx="58">
                  <c:v>2.0522300000000004E-2</c:v>
                </c:pt>
                <c:pt idx="59">
                  <c:v>-1.6465799999999999E-2</c:v>
                </c:pt>
                <c:pt idx="60">
                  <c:v>-1.8390200000000002E-2</c:v>
                </c:pt>
                <c:pt idx="61">
                  <c:v>5.8359699999999994E-2</c:v>
                </c:pt>
                <c:pt idx="62">
                  <c:v>-1.5921100000000001E-2</c:v>
                </c:pt>
                <c:pt idx="63">
                  <c:v>2.3283900000000003E-2</c:v>
                </c:pt>
                <c:pt idx="64">
                  <c:v>3.3911000000000002E-3</c:v>
                </c:pt>
                <c:pt idx="65">
                  <c:v>-2.3428300000000003E-2</c:v>
                </c:pt>
                <c:pt idx="66">
                  <c:v>1.7640100000000002E-2</c:v>
                </c:pt>
                <c:pt idx="67">
                  <c:v>-6.6544400000000004E-2</c:v>
                </c:pt>
                <c:pt idx="68">
                  <c:v>-3.669E-2</c:v>
                </c:pt>
                <c:pt idx="69">
                  <c:v>7.9662899999999995E-2</c:v>
                </c:pt>
                <c:pt idx="70">
                  <c:v>-5.0939000000000002E-3</c:v>
                </c:pt>
                <c:pt idx="71">
                  <c:v>-1.78706E-2</c:v>
                </c:pt>
                <c:pt idx="72">
                  <c:v>-5.9715400000000002E-2</c:v>
                </c:pt>
                <c:pt idx="73">
                  <c:v>-7.2236000000000002E-3</c:v>
                </c:pt>
                <c:pt idx="74">
                  <c:v>6.74014E-2</c:v>
                </c:pt>
                <c:pt idx="75">
                  <c:v>1.64318E-2</c:v>
                </c:pt>
                <c:pt idx="76">
                  <c:v>5.5245999999999993E-3</c:v>
                </c:pt>
                <c:pt idx="77">
                  <c:v>-1.11561E-2</c:v>
                </c:pt>
                <c:pt idx="78">
                  <c:v>4.2317400000000005E-2</c:v>
                </c:pt>
                <c:pt idx="79">
                  <c:v>5.465E-4</c:v>
                </c:pt>
                <c:pt idx="80">
                  <c:v>4.9824999999999999E-3</c:v>
                </c:pt>
                <c:pt idx="81">
                  <c:v>-1.9520099999999999E-2</c:v>
                </c:pt>
                <c:pt idx="82">
                  <c:v>1.4875899999999999E-2</c:v>
                </c:pt>
                <c:pt idx="83">
                  <c:v>2.3723499999999998E-2</c:v>
                </c:pt>
                <c:pt idx="84">
                  <c:v>2.36969E-2</c:v>
                </c:pt>
                <c:pt idx="85">
                  <c:v>2.7430400000000001E-2</c:v>
                </c:pt>
                <c:pt idx="86">
                  <c:v>1.0771299999999999E-2</c:v>
                </c:pt>
                <c:pt idx="87">
                  <c:v>1.4795000000000001E-2</c:v>
                </c:pt>
                <c:pt idx="88">
                  <c:v>2.1491799999999998E-2</c:v>
                </c:pt>
                <c:pt idx="89">
                  <c:v>3.8034000000000002E-3</c:v>
                </c:pt>
                <c:pt idx="90">
                  <c:v>2.3635799999999998E-2</c:v>
                </c:pt>
                <c:pt idx="91">
                  <c:v>1.1555999999999999E-3</c:v>
                </c:pt>
                <c:pt idx="92">
                  <c:v>2.24379E-2</c:v>
                </c:pt>
                <c:pt idx="93">
                  <c:v>1.86038E-2</c:v>
                </c:pt>
                <c:pt idx="94">
                  <c:v>2.1700400000000002E-2</c:v>
                </c:pt>
                <c:pt idx="95">
                  <c:v>1.3600399999999999E-2</c:v>
                </c:pt>
                <c:pt idx="96">
                  <c:v>5.2538600000000005E-2</c:v>
                </c:pt>
                <c:pt idx="97">
                  <c:v>-4.1671800000000002E-2</c:v>
                </c:pt>
                <c:pt idx="98">
                  <c:v>-2.2570800000000002E-2</c:v>
                </c:pt>
                <c:pt idx="99">
                  <c:v>1.2003999999999999E-2</c:v>
                </c:pt>
                <c:pt idx="100">
                  <c:v>6.2588000000000001E-3</c:v>
                </c:pt>
                <c:pt idx="101">
                  <c:v>-9.9909999999999994E-4</c:v>
                </c:pt>
                <c:pt idx="102">
                  <c:v>3.1055899999999997E-2</c:v>
                </c:pt>
                <c:pt idx="103">
                  <c:v>1.22486E-2</c:v>
                </c:pt>
                <c:pt idx="104">
                  <c:v>5.4280999999999999E-3</c:v>
                </c:pt>
                <c:pt idx="105">
                  <c:v>-7.3672199999999993E-2</c:v>
                </c:pt>
                <c:pt idx="106">
                  <c:v>1.14775E-2</c:v>
                </c:pt>
                <c:pt idx="107">
                  <c:v>-7.6157299999999997E-2</c:v>
                </c:pt>
              </c:numCache>
            </c:numRef>
          </c:val>
          <c:extLst>
            <c:ext xmlns:c16="http://schemas.microsoft.com/office/drawing/2014/chart" uri="{C3380CC4-5D6E-409C-BE32-E72D297353CC}">
              <c16:uniqueId val="{00000001-3D14-4853-A0CD-24A7E0A306A1}"/>
            </c:ext>
          </c:extLst>
        </c:ser>
        <c:ser>
          <c:idx val="2"/>
          <c:order val="2"/>
          <c:tx>
            <c:strRef>
              <c:f>AC!$AY$1</c:f>
              <c:strCache>
                <c:ptCount val="1"/>
                <c:pt idx="0">
                  <c:v>RobecoSAM Sustainable EE</c:v>
                </c:pt>
              </c:strCache>
            </c:strRef>
          </c:tx>
          <c:spPr>
            <a:solidFill>
              <a:schemeClr val="accent2"/>
            </a:solidFill>
            <a:ln>
              <a:noFill/>
            </a:ln>
            <a:effectLst/>
          </c:spPr>
          <c:invertIfNegative val="0"/>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AC!$AY$2:$AY$109</c:f>
              <c:numCache>
                <c:formatCode>0.00%</c:formatCode>
                <c:ptCount val="108"/>
                <c:pt idx="0">
                  <c:v>-4.2012549999999996E-2</c:v>
                </c:pt>
                <c:pt idx="1">
                  <c:v>-2.576999E-2</c:v>
                </c:pt>
                <c:pt idx="2">
                  <c:v>7.0667920000000009E-2</c:v>
                </c:pt>
                <c:pt idx="3">
                  <c:v>-2.7672150000000003E-2</c:v>
                </c:pt>
                <c:pt idx="4">
                  <c:v>-0.13201897000000001</c:v>
                </c:pt>
                <c:pt idx="5">
                  <c:v>8.8230299999999991E-3</c:v>
                </c:pt>
                <c:pt idx="6">
                  <c:v>0.11264391</c:v>
                </c:pt>
                <c:pt idx="7">
                  <c:v>-3.2260549999999999E-2</c:v>
                </c:pt>
                <c:pt idx="8">
                  <c:v>0.11538828000000001</c:v>
                </c:pt>
                <c:pt idx="9">
                  <c:v>4.3831639999999998E-2</c:v>
                </c:pt>
                <c:pt idx="10">
                  <c:v>-7.378788E-2</c:v>
                </c:pt>
                <c:pt idx="11">
                  <c:v>8.9237749999999991E-2</c:v>
                </c:pt>
                <c:pt idx="12">
                  <c:v>3.7733679999999999E-2</c:v>
                </c:pt>
                <c:pt idx="13">
                  <c:v>2.8744139999999998E-2</c:v>
                </c:pt>
                <c:pt idx="14">
                  <c:v>1.2455039999999999E-2</c:v>
                </c:pt>
                <c:pt idx="15">
                  <c:v>7.4233049999999995E-2</c:v>
                </c:pt>
                <c:pt idx="16">
                  <c:v>-4.0210160000000002E-2</c:v>
                </c:pt>
                <c:pt idx="17">
                  <c:v>-1.349654E-2</c:v>
                </c:pt>
                <c:pt idx="18">
                  <c:v>-2.7424900000000002E-2</c:v>
                </c:pt>
                <c:pt idx="19">
                  <c:v>-0.14414146999999999</c:v>
                </c:pt>
                <c:pt idx="20">
                  <c:v>-8.0367149999999998E-2</c:v>
                </c:pt>
                <c:pt idx="21">
                  <c:v>0.13526617999999999</c:v>
                </c:pt>
                <c:pt idx="22">
                  <c:v>-0.10383865</c:v>
                </c:pt>
                <c:pt idx="23">
                  <c:v>1.2215E-2</c:v>
                </c:pt>
                <c:pt idx="24">
                  <c:v>4.383451E-2</c:v>
                </c:pt>
                <c:pt idx="25">
                  <c:v>6.8243140000000008E-2</c:v>
                </c:pt>
                <c:pt idx="26">
                  <c:v>-1.0393110000000001E-2</c:v>
                </c:pt>
                <c:pt idx="27">
                  <c:v>-1.8912990000000001E-2</c:v>
                </c:pt>
                <c:pt idx="28">
                  <c:v>-0.11961406000000001</c:v>
                </c:pt>
                <c:pt idx="29">
                  <c:v>3.4340660000000002E-2</c:v>
                </c:pt>
                <c:pt idx="30">
                  <c:v>3.6777480000000001E-2</c:v>
                </c:pt>
                <c:pt idx="31">
                  <c:v>3.408684E-2</c:v>
                </c:pt>
                <c:pt idx="32">
                  <c:v>5.4213219999999999E-2</c:v>
                </c:pt>
                <c:pt idx="33">
                  <c:v>2.6953000000000003E-4</c:v>
                </c:pt>
                <c:pt idx="34">
                  <c:v>2.3129810000000001E-2</c:v>
                </c:pt>
                <c:pt idx="35">
                  <c:v>2.6021249999999999E-2</c:v>
                </c:pt>
                <c:pt idx="36">
                  <c:v>5.6765429999999999E-2</c:v>
                </c:pt>
                <c:pt idx="37">
                  <c:v>-3.2477350000000002E-2</c:v>
                </c:pt>
                <c:pt idx="38">
                  <c:v>1.8252210000000001E-2</c:v>
                </c:pt>
                <c:pt idx="39">
                  <c:v>5.0089740000000001E-2</c:v>
                </c:pt>
                <c:pt idx="40">
                  <c:v>6.4903800000000005E-3</c:v>
                </c:pt>
                <c:pt idx="41">
                  <c:v>-4.9851609999999998E-2</c:v>
                </c:pt>
                <c:pt idx="42">
                  <c:v>6.5608410000000006E-2</c:v>
                </c:pt>
                <c:pt idx="43">
                  <c:v>-9.0683400000000011E-3</c:v>
                </c:pt>
                <c:pt idx="44">
                  <c:v>5.9314390000000002E-2</c:v>
                </c:pt>
                <c:pt idx="45">
                  <c:v>3.9490020000000001E-2</c:v>
                </c:pt>
                <c:pt idx="46">
                  <c:v>1.9185850000000001E-2</c:v>
                </c:pt>
                <c:pt idx="47">
                  <c:v>1.9712069999999998E-2</c:v>
                </c:pt>
                <c:pt idx="48">
                  <c:v>-4.0328030000000001E-2</c:v>
                </c:pt>
                <c:pt idx="49">
                  <c:v>5.6364049999999999E-2</c:v>
                </c:pt>
                <c:pt idx="50">
                  <c:v>-4.2629599999999997E-3</c:v>
                </c:pt>
                <c:pt idx="51">
                  <c:v>2.2959920000000002E-2</c:v>
                </c:pt>
                <c:pt idx="52">
                  <c:v>1.670189E-2</c:v>
                </c:pt>
                <c:pt idx="53">
                  <c:v>-2.8311999999999999E-3</c:v>
                </c:pt>
                <c:pt idx="54">
                  <c:v>-1.68957E-2</c:v>
                </c:pt>
                <c:pt idx="55">
                  <c:v>-1.4654789999999999E-2</c:v>
                </c:pt>
                <c:pt idx="56">
                  <c:v>-3.4813839999999999E-2</c:v>
                </c:pt>
                <c:pt idx="57">
                  <c:v>-3.5913140000000003E-2</c:v>
                </c:pt>
                <c:pt idx="58">
                  <c:v>4.3624379999999997E-2</c:v>
                </c:pt>
                <c:pt idx="59">
                  <c:v>-5.1853569999999995E-2</c:v>
                </c:pt>
                <c:pt idx="60">
                  <c:v>-1.47809E-3</c:v>
                </c:pt>
                <c:pt idx="61">
                  <c:v>5.7304859999999999E-2</c:v>
                </c:pt>
                <c:pt idx="62">
                  <c:v>-1.333237E-2</c:v>
                </c:pt>
                <c:pt idx="63">
                  <c:v>3.6649569999999999E-2</c:v>
                </c:pt>
                <c:pt idx="64">
                  <c:v>5.0107800000000003E-3</c:v>
                </c:pt>
                <c:pt idx="65">
                  <c:v>-3.2105009999999996E-2</c:v>
                </c:pt>
                <c:pt idx="66">
                  <c:v>1.4410009999999999E-2</c:v>
                </c:pt>
                <c:pt idx="67">
                  <c:v>-6.3361349999999997E-2</c:v>
                </c:pt>
                <c:pt idx="68">
                  <c:v>-6.7903199999999997E-2</c:v>
                </c:pt>
                <c:pt idx="69">
                  <c:v>8.4995559999999998E-2</c:v>
                </c:pt>
                <c:pt idx="70">
                  <c:v>-2.3593280000000001E-2</c:v>
                </c:pt>
                <c:pt idx="71">
                  <c:v>-1.9876400000000002E-2</c:v>
                </c:pt>
                <c:pt idx="72">
                  <c:v>-8.8814939999999995E-2</c:v>
                </c:pt>
                <c:pt idx="73">
                  <c:v>1.3006660000000001E-2</c:v>
                </c:pt>
                <c:pt idx="74">
                  <c:v>7.6968120000000001E-2</c:v>
                </c:pt>
                <c:pt idx="75">
                  <c:v>4.4218219999999996E-2</c:v>
                </c:pt>
                <c:pt idx="76">
                  <c:v>-1.545993E-2</c:v>
                </c:pt>
                <c:pt idx="77">
                  <c:v>-5.8084770000000001E-2</c:v>
                </c:pt>
                <c:pt idx="78">
                  <c:v>3.764108E-2</c:v>
                </c:pt>
                <c:pt idx="79">
                  <c:v>1.229206E-2</c:v>
                </c:pt>
                <c:pt idx="80">
                  <c:v>1.0759719999999999E-2</c:v>
                </c:pt>
                <c:pt idx="81">
                  <c:v>-2.1414399999999997E-2</c:v>
                </c:pt>
                <c:pt idx="82">
                  <c:v>-2.7943099999999998E-2</c:v>
                </c:pt>
                <c:pt idx="83">
                  <c:v>4.9779359999999995E-2</c:v>
                </c:pt>
                <c:pt idx="84">
                  <c:v>3.3691260000000001E-2</c:v>
                </c:pt>
                <c:pt idx="85">
                  <c:v>3.7009999999999999E-3</c:v>
                </c:pt>
                <c:pt idx="86">
                  <c:v>3.5135079999999999E-2</c:v>
                </c:pt>
                <c:pt idx="87">
                  <c:v>4.0044980000000001E-2</c:v>
                </c:pt>
                <c:pt idx="88">
                  <c:v>5.5761820000000004E-2</c:v>
                </c:pt>
                <c:pt idx="89">
                  <c:v>-1.255445E-2</c:v>
                </c:pt>
                <c:pt idx="90">
                  <c:v>1.3761460000000001E-2</c:v>
                </c:pt>
                <c:pt idx="91">
                  <c:v>-6.0414599999999994E-3</c:v>
                </c:pt>
                <c:pt idx="92">
                  <c:v>3.7719710000000004E-2</c:v>
                </c:pt>
                <c:pt idx="93">
                  <c:v>-5.0646999999999997E-4</c:v>
                </c:pt>
                <c:pt idx="94">
                  <c:v>1.7715939999999999E-2</c:v>
                </c:pt>
                <c:pt idx="95">
                  <c:v>1.413118E-2</c:v>
                </c:pt>
                <c:pt idx="96">
                  <c:v>3.439963E-2</c:v>
                </c:pt>
                <c:pt idx="97">
                  <c:v>-4.6448570000000002E-2</c:v>
                </c:pt>
                <c:pt idx="98">
                  <c:v>-1.3850979999999999E-2</c:v>
                </c:pt>
                <c:pt idx="99">
                  <c:v>1.663104E-2</c:v>
                </c:pt>
                <c:pt idx="100">
                  <c:v>-1.2281770000000001E-2</c:v>
                </c:pt>
                <c:pt idx="101">
                  <c:v>-7.9692800000000005E-3</c:v>
                </c:pt>
                <c:pt idx="102">
                  <c:v>4.1675170000000004E-2</c:v>
                </c:pt>
                <c:pt idx="103">
                  <c:v>-1.3952999999999999E-3</c:v>
                </c:pt>
                <c:pt idx="104">
                  <c:v>-6.4568499999999992E-3</c:v>
                </c:pt>
                <c:pt idx="105">
                  <c:v>-9.7020090000000003E-2</c:v>
                </c:pt>
                <c:pt idx="106">
                  <c:v>2.4454719999999999E-2</c:v>
                </c:pt>
                <c:pt idx="107">
                  <c:v>-6.4034359999999999E-2</c:v>
                </c:pt>
              </c:numCache>
            </c:numRef>
          </c:val>
          <c:extLst>
            <c:ext xmlns:c16="http://schemas.microsoft.com/office/drawing/2014/chart" uri="{C3380CC4-5D6E-409C-BE32-E72D297353CC}">
              <c16:uniqueId val="{00000002-3D14-4853-A0CD-24A7E0A306A1}"/>
            </c:ext>
          </c:extLst>
        </c:ser>
        <c:ser>
          <c:idx val="3"/>
          <c:order val="3"/>
          <c:tx>
            <c:strRef>
              <c:f>AC!$AZ$1</c:f>
              <c:strCache>
                <c:ptCount val="1"/>
                <c:pt idx="0">
                  <c:v>UniNachhaltig Aktien G</c:v>
                </c:pt>
              </c:strCache>
            </c:strRef>
          </c:tx>
          <c:spPr>
            <a:solidFill>
              <a:srgbClr val="8CA83E"/>
            </a:solidFill>
            <a:ln>
              <a:noFill/>
            </a:ln>
            <a:effectLst/>
          </c:spPr>
          <c:invertIfNegative val="0"/>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AC!$AZ$2:$AZ$109</c:f>
              <c:numCache>
                <c:formatCode>0.00%</c:formatCode>
                <c:ptCount val="108"/>
                <c:pt idx="0">
                  <c:v>-4.664343E-2</c:v>
                </c:pt>
                <c:pt idx="1">
                  <c:v>-1.0441869999999999E-2</c:v>
                </c:pt>
                <c:pt idx="2">
                  <c:v>6.5119070000000001E-2</c:v>
                </c:pt>
                <c:pt idx="3">
                  <c:v>-4.1016999999999996E-4</c:v>
                </c:pt>
                <c:pt idx="4">
                  <c:v>-8.6948620000000004E-2</c:v>
                </c:pt>
                <c:pt idx="5">
                  <c:v>-1.2868409999999999E-2</c:v>
                </c:pt>
                <c:pt idx="6">
                  <c:v>7.4014659999999996E-2</c:v>
                </c:pt>
                <c:pt idx="7">
                  <c:v>-3.3708469999999997E-2</c:v>
                </c:pt>
                <c:pt idx="8">
                  <c:v>7.8189430000000004E-2</c:v>
                </c:pt>
                <c:pt idx="9">
                  <c:v>4.9593579999999998E-2</c:v>
                </c:pt>
                <c:pt idx="10">
                  <c:v>-3.093359E-2</c:v>
                </c:pt>
                <c:pt idx="11">
                  <c:v>8.3712739999999994E-2</c:v>
                </c:pt>
                <c:pt idx="12">
                  <c:v>7.9172800000000005E-3</c:v>
                </c:pt>
                <c:pt idx="13">
                  <c:v>2.7162069999999996E-2</c:v>
                </c:pt>
                <c:pt idx="14">
                  <c:v>-9.7505200000000004E-3</c:v>
                </c:pt>
                <c:pt idx="15">
                  <c:v>5.4458300000000001E-2</c:v>
                </c:pt>
                <c:pt idx="16">
                  <c:v>-3.3204250000000005E-2</c:v>
                </c:pt>
                <c:pt idx="17">
                  <c:v>-2.0874700000000003E-2</c:v>
                </c:pt>
                <c:pt idx="18">
                  <c:v>-3.7820360000000004E-2</c:v>
                </c:pt>
                <c:pt idx="19">
                  <c:v>-9.0375159999999996E-2</c:v>
                </c:pt>
                <c:pt idx="20">
                  <c:v>-9.4264749999999994E-2</c:v>
                </c:pt>
                <c:pt idx="21">
                  <c:v>0.10122566000000001</c:v>
                </c:pt>
                <c:pt idx="22">
                  <c:v>-4.2179760000000004E-2</c:v>
                </c:pt>
                <c:pt idx="23">
                  <c:v>-1.9692790000000002E-2</c:v>
                </c:pt>
                <c:pt idx="24">
                  <c:v>5.378877E-2</c:v>
                </c:pt>
                <c:pt idx="25">
                  <c:v>4.8081659999999998E-2</c:v>
                </c:pt>
                <c:pt idx="26">
                  <c:v>3.1940650000000001E-2</c:v>
                </c:pt>
                <c:pt idx="27">
                  <c:v>-1.99188E-2</c:v>
                </c:pt>
                <c:pt idx="28">
                  <c:v>-8.7014220000000003E-2</c:v>
                </c:pt>
                <c:pt idx="29">
                  <c:v>3.8080860000000001E-2</c:v>
                </c:pt>
                <c:pt idx="30">
                  <c:v>-1.31298E-3</c:v>
                </c:pt>
                <c:pt idx="31">
                  <c:v>4.1406770000000002E-2</c:v>
                </c:pt>
                <c:pt idx="32">
                  <c:v>3.163084E-2</c:v>
                </c:pt>
                <c:pt idx="33">
                  <c:v>1.01549E-3</c:v>
                </c:pt>
                <c:pt idx="34">
                  <c:v>1.0532950000000001E-2</c:v>
                </c:pt>
                <c:pt idx="35">
                  <c:v>7.4240799999999996E-3</c:v>
                </c:pt>
                <c:pt idx="36">
                  <c:v>6.7401309999999992E-2</c:v>
                </c:pt>
                <c:pt idx="37">
                  <c:v>-1.2911470000000001E-2</c:v>
                </c:pt>
                <c:pt idx="38">
                  <c:v>1.5814640000000001E-2</c:v>
                </c:pt>
                <c:pt idx="39">
                  <c:v>3.6036329999999998E-2</c:v>
                </c:pt>
                <c:pt idx="40">
                  <c:v>2.6931050000000002E-2</c:v>
                </c:pt>
                <c:pt idx="41">
                  <c:v>-2.7691029999999998E-2</c:v>
                </c:pt>
                <c:pt idx="42">
                  <c:v>3.9525489999999996E-2</c:v>
                </c:pt>
                <c:pt idx="43">
                  <c:v>-2.6109469999999999E-2</c:v>
                </c:pt>
                <c:pt idx="44">
                  <c:v>5.1426720000000002E-2</c:v>
                </c:pt>
                <c:pt idx="45">
                  <c:v>3.9091399999999998E-2</c:v>
                </c:pt>
                <c:pt idx="46">
                  <c:v>1.9602170000000002E-2</c:v>
                </c:pt>
                <c:pt idx="47">
                  <c:v>2.2299360000000001E-2</c:v>
                </c:pt>
                <c:pt idx="48">
                  <c:v>-2.39019E-2</c:v>
                </c:pt>
                <c:pt idx="49">
                  <c:v>5.6516749999999998E-2</c:v>
                </c:pt>
                <c:pt idx="50">
                  <c:v>-9.5937000000000001E-3</c:v>
                </c:pt>
                <c:pt idx="51">
                  <c:v>-6.4374299999999992E-3</c:v>
                </c:pt>
                <c:pt idx="52">
                  <c:v>1.9374590000000001E-2</c:v>
                </c:pt>
                <c:pt idx="53">
                  <c:v>1.1443499999999999E-3</c:v>
                </c:pt>
                <c:pt idx="54">
                  <c:v>-3.2297220000000001E-2</c:v>
                </c:pt>
                <c:pt idx="55">
                  <c:v>2.0217849999999999E-2</c:v>
                </c:pt>
                <c:pt idx="56">
                  <c:v>-2.1164700000000002E-2</c:v>
                </c:pt>
                <c:pt idx="57">
                  <c:v>1.7619999999999999E-3</c:v>
                </c:pt>
                <c:pt idx="58">
                  <c:v>3.1545919999999998E-2</c:v>
                </c:pt>
                <c:pt idx="59">
                  <c:v>-1.6361489999999999E-2</c:v>
                </c:pt>
                <c:pt idx="60">
                  <c:v>-1.6290840000000001E-2</c:v>
                </c:pt>
                <c:pt idx="61">
                  <c:v>5.3074589999999998E-2</c:v>
                </c:pt>
                <c:pt idx="62">
                  <c:v>-1.070371E-2</c:v>
                </c:pt>
                <c:pt idx="63">
                  <c:v>1.8624780000000001E-2</c:v>
                </c:pt>
                <c:pt idx="64">
                  <c:v>-6.1946599999999994E-3</c:v>
                </c:pt>
                <c:pt idx="65">
                  <c:v>-2.5162529999999999E-2</c:v>
                </c:pt>
                <c:pt idx="66">
                  <c:v>1.8709299999999998E-2</c:v>
                </c:pt>
                <c:pt idx="67">
                  <c:v>-6.0915699999999996E-2</c:v>
                </c:pt>
                <c:pt idx="68">
                  <c:v>-3.267631E-2</c:v>
                </c:pt>
                <c:pt idx="69">
                  <c:v>7.0706680000000008E-2</c:v>
                </c:pt>
                <c:pt idx="70">
                  <c:v>-4.9206400000000004E-3</c:v>
                </c:pt>
                <c:pt idx="71">
                  <c:v>-7.0239700000000009E-3</c:v>
                </c:pt>
                <c:pt idx="72">
                  <c:v>-6.1145940000000003E-2</c:v>
                </c:pt>
                <c:pt idx="73">
                  <c:v>-7.6920200000000008E-3</c:v>
                </c:pt>
                <c:pt idx="74">
                  <c:v>7.5480749999999999E-2</c:v>
                </c:pt>
                <c:pt idx="75">
                  <c:v>4.8280299999999996E-3</c:v>
                </c:pt>
                <c:pt idx="76">
                  <c:v>5.2084399999999999E-3</c:v>
                </c:pt>
                <c:pt idx="77">
                  <c:v>-1.4792320000000001E-2</c:v>
                </c:pt>
                <c:pt idx="78">
                  <c:v>4.873686E-2</c:v>
                </c:pt>
                <c:pt idx="79">
                  <c:v>-3.31248E-3</c:v>
                </c:pt>
                <c:pt idx="80">
                  <c:v>1.217962E-2</c:v>
                </c:pt>
                <c:pt idx="81">
                  <c:v>-3.1104669999999997E-2</c:v>
                </c:pt>
                <c:pt idx="82">
                  <c:v>-2.5427599999999998E-3</c:v>
                </c:pt>
                <c:pt idx="83">
                  <c:v>1.368898E-2</c:v>
                </c:pt>
                <c:pt idx="84">
                  <c:v>2.9674740000000002E-2</c:v>
                </c:pt>
                <c:pt idx="85">
                  <c:v>1.5280480000000001E-2</c:v>
                </c:pt>
                <c:pt idx="86">
                  <c:v>1.8843740000000001E-2</c:v>
                </c:pt>
                <c:pt idx="87">
                  <c:v>2.651015E-2</c:v>
                </c:pt>
                <c:pt idx="88">
                  <c:v>3.007058E-2</c:v>
                </c:pt>
                <c:pt idx="89">
                  <c:v>-1.1295949999999999E-2</c:v>
                </c:pt>
                <c:pt idx="90">
                  <c:v>2.5029599999999999E-2</c:v>
                </c:pt>
                <c:pt idx="91">
                  <c:v>6.1289800000000009E-3</c:v>
                </c:pt>
                <c:pt idx="92">
                  <c:v>2.698499E-2</c:v>
                </c:pt>
                <c:pt idx="93">
                  <c:v>2.221151E-2</c:v>
                </c:pt>
                <c:pt idx="94">
                  <c:v>-4.6288000000000004E-4</c:v>
                </c:pt>
                <c:pt idx="95">
                  <c:v>1.0799240000000002E-2</c:v>
                </c:pt>
                <c:pt idx="96">
                  <c:v>6.99713E-2</c:v>
                </c:pt>
                <c:pt idx="97">
                  <c:v>-5.0419390000000001E-2</c:v>
                </c:pt>
                <c:pt idx="98">
                  <c:v>-2.0855470000000001E-2</c:v>
                </c:pt>
                <c:pt idx="99">
                  <c:v>7.6648000000000003E-3</c:v>
                </c:pt>
                <c:pt idx="100">
                  <c:v>2.0161200000000001E-2</c:v>
                </c:pt>
                <c:pt idx="101">
                  <c:v>1.6189999999999999E-5</c:v>
                </c:pt>
                <c:pt idx="102">
                  <c:v>2.7800129999999999E-2</c:v>
                </c:pt>
                <c:pt idx="103">
                  <c:v>1.812014E-2</c:v>
                </c:pt>
                <c:pt idx="104">
                  <c:v>1.7245630000000001E-2</c:v>
                </c:pt>
                <c:pt idx="105">
                  <c:v>-8.1013750000000009E-2</c:v>
                </c:pt>
                <c:pt idx="106">
                  <c:v>1.39805E-2</c:v>
                </c:pt>
                <c:pt idx="107">
                  <c:v>-7.6538469999999997E-2</c:v>
                </c:pt>
              </c:numCache>
            </c:numRef>
          </c:val>
          <c:extLst>
            <c:ext xmlns:c16="http://schemas.microsoft.com/office/drawing/2014/chart" uri="{C3380CC4-5D6E-409C-BE32-E72D297353CC}">
              <c16:uniqueId val="{00000003-3D14-4853-A0CD-24A7E0A306A1}"/>
            </c:ext>
          </c:extLst>
        </c:ser>
        <c:ser>
          <c:idx val="4"/>
          <c:order val="4"/>
          <c:tx>
            <c:strRef>
              <c:f>AC!$BA$1</c:f>
              <c:strCache>
                <c:ptCount val="1"/>
                <c:pt idx="0">
                  <c:v>ProShares UltraShort Oil &amp; Gas</c:v>
                </c:pt>
              </c:strCache>
            </c:strRef>
          </c:tx>
          <c:spPr>
            <a:solidFill>
              <a:srgbClr val="00B0F0"/>
            </a:solidFill>
            <a:ln>
              <a:noFill/>
            </a:ln>
            <a:effectLst/>
          </c:spPr>
          <c:invertIfNegative val="0"/>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AC!$BA$2:$BA$109</c:f>
              <c:numCache>
                <c:formatCode>0.00%</c:formatCode>
                <c:ptCount val="108"/>
                <c:pt idx="0">
                  <c:v>8.2352900000000007E-2</c:v>
                </c:pt>
                <c:pt idx="1">
                  <c:v>-5.4347800000000002E-2</c:v>
                </c:pt>
                <c:pt idx="2">
                  <c:v>-6.2068999999999999E-2</c:v>
                </c:pt>
                <c:pt idx="3">
                  <c:v>-9.3790800000000007E-2</c:v>
                </c:pt>
                <c:pt idx="4">
                  <c:v>0.24468090000000001</c:v>
                </c:pt>
                <c:pt idx="5">
                  <c:v>8.8512199999999999E-2</c:v>
                </c:pt>
                <c:pt idx="6">
                  <c:v>-0.15065210000000001</c:v>
                </c:pt>
                <c:pt idx="7">
                  <c:v>7.4898199999999998E-2</c:v>
                </c:pt>
                <c:pt idx="8">
                  <c:v>-0.17740520000000001</c:v>
                </c:pt>
                <c:pt idx="9">
                  <c:v>-0.10384550000000001</c:v>
                </c:pt>
                <c:pt idx="10">
                  <c:v>-0.11647220000000001</c:v>
                </c:pt>
                <c:pt idx="11">
                  <c:v>-0.15935540000000001</c:v>
                </c:pt>
                <c:pt idx="12">
                  <c:v>-0.14190630000000001</c:v>
                </c:pt>
                <c:pt idx="13">
                  <c:v>-0.13993169999999999</c:v>
                </c:pt>
                <c:pt idx="14">
                  <c:v>-4.4011500000000002E-2</c:v>
                </c:pt>
                <c:pt idx="15">
                  <c:v>-3.2452800000000004E-2</c:v>
                </c:pt>
                <c:pt idx="16">
                  <c:v>7.7223100000000003E-2</c:v>
                </c:pt>
                <c:pt idx="17">
                  <c:v>1.99131E-2</c:v>
                </c:pt>
                <c:pt idx="18">
                  <c:v>-3.2658900000000005E-2</c:v>
                </c:pt>
                <c:pt idx="19">
                  <c:v>0.13614680000000001</c:v>
                </c:pt>
                <c:pt idx="20">
                  <c:v>0.27583980000000002</c:v>
                </c:pt>
                <c:pt idx="21">
                  <c:v>-0.3040506</c:v>
                </c:pt>
                <c:pt idx="22">
                  <c:v>-7.2753699999999991E-2</c:v>
                </c:pt>
                <c:pt idx="23">
                  <c:v>5.1000000000000004E-3</c:v>
                </c:pt>
                <c:pt idx="24">
                  <c:v>-4.4106199999999998E-2</c:v>
                </c:pt>
                <c:pt idx="25">
                  <c:v>-0.11841570000000001</c:v>
                </c:pt>
                <c:pt idx="26">
                  <c:v>6.1139400000000003E-2</c:v>
                </c:pt>
                <c:pt idx="27">
                  <c:v>1.61502E-2</c:v>
                </c:pt>
                <c:pt idx="28">
                  <c:v>0.237543</c:v>
                </c:pt>
                <c:pt idx="29">
                  <c:v>-0.11905590000000001</c:v>
                </c:pt>
                <c:pt idx="30">
                  <c:v>-8.8652499999999995E-2</c:v>
                </c:pt>
                <c:pt idx="31">
                  <c:v>-5.3609999999999998E-2</c:v>
                </c:pt>
                <c:pt idx="32">
                  <c:v>-6.9894899999999996E-2</c:v>
                </c:pt>
                <c:pt idx="33">
                  <c:v>4.1257400000000007E-2</c:v>
                </c:pt>
                <c:pt idx="34">
                  <c:v>1.50943E-2</c:v>
                </c:pt>
                <c:pt idx="35">
                  <c:v>-2.2769499999999998E-2</c:v>
                </c:pt>
                <c:pt idx="36">
                  <c:v>-0.1526391</c:v>
                </c:pt>
                <c:pt idx="37">
                  <c:v>-1.2345699999999999E-2</c:v>
                </c:pt>
                <c:pt idx="38">
                  <c:v>-4.60227E-2</c:v>
                </c:pt>
                <c:pt idx="39">
                  <c:v>6.5515E-3</c:v>
                </c:pt>
                <c:pt idx="40">
                  <c:v>-5.5029599999999998E-2</c:v>
                </c:pt>
                <c:pt idx="41">
                  <c:v>3.3500299999999997E-2</c:v>
                </c:pt>
                <c:pt idx="42">
                  <c:v>-0.1002726</c:v>
                </c:pt>
                <c:pt idx="43">
                  <c:v>2.7609400000000003E-2</c:v>
                </c:pt>
                <c:pt idx="44">
                  <c:v>-4.8492800000000003E-2</c:v>
                </c:pt>
                <c:pt idx="45">
                  <c:v>-8.5915999999999992E-2</c:v>
                </c:pt>
                <c:pt idx="46">
                  <c:v>-1.3938600000000001E-2</c:v>
                </c:pt>
                <c:pt idx="47">
                  <c:v>-5.9407800000000004E-2</c:v>
                </c:pt>
                <c:pt idx="48">
                  <c:v>0.13017870000000001</c:v>
                </c:pt>
                <c:pt idx="49">
                  <c:v>-0.1069182</c:v>
                </c:pt>
                <c:pt idx="50">
                  <c:v>-5.2112699999999998E-2</c:v>
                </c:pt>
                <c:pt idx="51">
                  <c:v>-9.7006999999999996E-2</c:v>
                </c:pt>
                <c:pt idx="52">
                  <c:v>-3.0794499999999999E-2</c:v>
                </c:pt>
                <c:pt idx="53">
                  <c:v>-0.10113989999999999</c:v>
                </c:pt>
                <c:pt idx="54">
                  <c:v>6.8267700000000001E-2</c:v>
                </c:pt>
                <c:pt idx="55">
                  <c:v>-5.4306599999999997E-2</c:v>
                </c:pt>
                <c:pt idx="56">
                  <c:v>0.1666667</c:v>
                </c:pt>
                <c:pt idx="57">
                  <c:v>5.4029299999999995E-2</c:v>
                </c:pt>
                <c:pt idx="58">
                  <c:v>0.1880973</c:v>
                </c:pt>
                <c:pt idx="59">
                  <c:v>-2.3948800000000003E-2</c:v>
                </c:pt>
                <c:pt idx="60">
                  <c:v>7.8291799999999995E-2</c:v>
                </c:pt>
                <c:pt idx="61">
                  <c:v>-9.7794000000000006E-2</c:v>
                </c:pt>
                <c:pt idx="62">
                  <c:v>2.7339199999999998E-2</c:v>
                </c:pt>
                <c:pt idx="63">
                  <c:v>-0.1330585</c:v>
                </c:pt>
                <c:pt idx="64">
                  <c:v>0.10138350000000002</c:v>
                </c:pt>
                <c:pt idx="65">
                  <c:v>6.9676200000000008E-2</c:v>
                </c:pt>
                <c:pt idx="66">
                  <c:v>0.17045870000000002</c:v>
                </c:pt>
                <c:pt idx="67">
                  <c:v>4.4207599999999993E-2</c:v>
                </c:pt>
                <c:pt idx="68">
                  <c:v>0.13991889999999998</c:v>
                </c:pt>
                <c:pt idx="69">
                  <c:v>-0.2136178</c:v>
                </c:pt>
                <c:pt idx="70">
                  <c:v>-9.0437E-3</c:v>
                </c:pt>
                <c:pt idx="71">
                  <c:v>0.21429780000000001</c:v>
                </c:pt>
                <c:pt idx="72">
                  <c:v>2.56089E-2</c:v>
                </c:pt>
                <c:pt idx="73">
                  <c:v>2.1034099999999997E-2</c:v>
                </c:pt>
                <c:pt idx="74">
                  <c:v>-0.18487510000000001</c:v>
                </c:pt>
                <c:pt idx="75">
                  <c:v>-0.1705527</c:v>
                </c:pt>
                <c:pt idx="76">
                  <c:v>1.5726400000000001E-2</c:v>
                </c:pt>
                <c:pt idx="77">
                  <c:v>-7.2963E-2</c:v>
                </c:pt>
                <c:pt idx="78">
                  <c:v>3.44468E-2</c:v>
                </c:pt>
                <c:pt idx="79">
                  <c:v>-3.4914199999999999E-2</c:v>
                </c:pt>
                <c:pt idx="80">
                  <c:v>-7.8210000000000002E-2</c:v>
                </c:pt>
                <c:pt idx="81">
                  <c:v>6.8058099999999996E-2</c:v>
                </c:pt>
                <c:pt idx="82">
                  <c:v>-0.17438400000000001</c:v>
                </c:pt>
                <c:pt idx="83">
                  <c:v>-3.6789299999999997E-2</c:v>
                </c:pt>
                <c:pt idx="84">
                  <c:v>6.5437999999999996E-2</c:v>
                </c:pt>
                <c:pt idx="85">
                  <c:v>4.4622700000000001E-2</c:v>
                </c:pt>
                <c:pt idx="86">
                  <c:v>1.46388E-2</c:v>
                </c:pt>
                <c:pt idx="87">
                  <c:v>6.6225199999999998E-2</c:v>
                </c:pt>
                <c:pt idx="88">
                  <c:v>7.3646900000000001E-2</c:v>
                </c:pt>
                <c:pt idx="89">
                  <c:v>1.8595E-3</c:v>
                </c:pt>
                <c:pt idx="90">
                  <c:v>-5.0113399999999995E-2</c:v>
                </c:pt>
                <c:pt idx="91">
                  <c:v>0.11441599999999999</c:v>
                </c:pt>
                <c:pt idx="92">
                  <c:v>-0.1772842</c:v>
                </c:pt>
                <c:pt idx="93">
                  <c:v>1.5628699999999999E-2</c:v>
                </c:pt>
                <c:pt idx="94">
                  <c:v>-4.2667299999999998E-2</c:v>
                </c:pt>
                <c:pt idx="95">
                  <c:v>-9.7418400000000002E-2</c:v>
                </c:pt>
                <c:pt idx="96">
                  <c:v>-6.7727999999999997E-2</c:v>
                </c:pt>
                <c:pt idx="97">
                  <c:v>0.22836469999999998</c:v>
                </c:pt>
                <c:pt idx="98">
                  <c:v>-4.7832199999999998E-2</c:v>
                </c:pt>
                <c:pt idx="99">
                  <c:v>-0.17272950000000001</c:v>
                </c:pt>
                <c:pt idx="100">
                  <c:v>-7.1791800000000003E-2</c:v>
                </c:pt>
                <c:pt idx="101">
                  <c:v>-1.9658399999999999E-2</c:v>
                </c:pt>
                <c:pt idx="102">
                  <c:v>-2.6298499999999999E-2</c:v>
                </c:pt>
                <c:pt idx="103">
                  <c:v>6.0432100000000002E-2</c:v>
                </c:pt>
                <c:pt idx="104">
                  <c:v>-5.1624999999999997E-2</c:v>
                </c:pt>
                <c:pt idx="105">
                  <c:v>0.26167280000000004</c:v>
                </c:pt>
                <c:pt idx="106">
                  <c:v>3.7007499999999999E-2</c:v>
                </c:pt>
                <c:pt idx="107">
                  <c:v>0.28984369999999998</c:v>
                </c:pt>
              </c:numCache>
            </c:numRef>
          </c:val>
          <c:extLst>
            <c:ext xmlns:c16="http://schemas.microsoft.com/office/drawing/2014/chart" uri="{C3380CC4-5D6E-409C-BE32-E72D297353CC}">
              <c16:uniqueId val="{00000004-3D14-4853-A0CD-24A7E0A306A1}"/>
            </c:ext>
          </c:extLst>
        </c:ser>
        <c:dLbls>
          <c:showLegendKey val="0"/>
          <c:showVal val="0"/>
          <c:showCatName val="0"/>
          <c:showSerName val="0"/>
          <c:showPercent val="0"/>
          <c:showBubbleSize val="0"/>
        </c:dLbls>
        <c:gapWidth val="150"/>
        <c:axId val="751882712"/>
        <c:axId val="751885336"/>
      </c:barChart>
      <c:lineChart>
        <c:grouping val="standard"/>
        <c:varyColors val="0"/>
        <c:ser>
          <c:idx val="5"/>
          <c:order val="5"/>
          <c:tx>
            <c:strRef>
              <c:f>AC!$BB$1</c:f>
              <c:strCache>
                <c:ptCount val="1"/>
                <c:pt idx="0">
                  <c:v>US GI World Precious Minerals Beta</c:v>
                </c:pt>
              </c:strCache>
            </c:strRef>
          </c:tx>
          <c:spPr>
            <a:ln w="28575" cap="rnd">
              <a:solidFill>
                <a:srgbClr val="8B4513"/>
              </a:solidFill>
              <a:round/>
            </a:ln>
            <a:effectLst/>
          </c:spPr>
          <c:marker>
            <c:symbol val="none"/>
          </c:marker>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AC!$BB$2:$BB$109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2.0070412477236994</c:v>
                </c:pt>
                <c:pt idx="60">
                  <c:v>1.9035990122372217</c:v>
                </c:pt>
                <c:pt idx="61">
                  <c:v>1.8702419571994513</c:v>
                </c:pt>
                <c:pt idx="62">
                  <c:v>1.9190493216516256</c:v>
                </c:pt>
                <c:pt idx="63">
                  <c:v>1.9590217670649979</c:v>
                </c:pt>
                <c:pt idx="64">
                  <c:v>1.9423362429891886</c:v>
                </c:pt>
                <c:pt idx="65">
                  <c:v>1.9812152682757156</c:v>
                </c:pt>
                <c:pt idx="66">
                  <c:v>2.0546723654051009</c:v>
                </c:pt>
                <c:pt idx="67">
                  <c:v>1.9074996200680727</c:v>
                </c:pt>
                <c:pt idx="68">
                  <c:v>2.0398163384681562</c:v>
                </c:pt>
                <c:pt idx="69">
                  <c:v>2.0502000512083183</c:v>
                </c:pt>
                <c:pt idx="70">
                  <c:v>2.0584962152876209</c:v>
                </c:pt>
                <c:pt idx="71">
                  <c:v>2.0298078200621159</c:v>
                </c:pt>
                <c:pt idx="72">
                  <c:v>2.104025718373506</c:v>
                </c:pt>
                <c:pt idx="73">
                  <c:v>2.2895859500245672</c:v>
                </c:pt>
                <c:pt idx="74">
                  <c:v>2.2926503549997586</c:v>
                </c:pt>
                <c:pt idx="75">
                  <c:v>2.5765898180612581</c:v>
                </c:pt>
                <c:pt idx="76">
                  <c:v>2.5548750092733061</c:v>
                </c:pt>
                <c:pt idx="77">
                  <c:v>2.8801583454515192</c:v>
                </c:pt>
                <c:pt idx="78">
                  <c:v>2.9343802968347354</c:v>
                </c:pt>
                <c:pt idx="79">
                  <c:v>2.9949794096193028</c:v>
                </c:pt>
                <c:pt idx="80">
                  <c:v>2.9541284616778394</c:v>
                </c:pt>
                <c:pt idx="81">
                  <c:v>3.2092675861528552</c:v>
                </c:pt>
                <c:pt idx="82">
                  <c:v>3.1025193001911009</c:v>
                </c:pt>
                <c:pt idx="83">
                  <c:v>3.0800715431690566</c:v>
                </c:pt>
                <c:pt idx="84">
                  <c:v>3.0288395805986927</c:v>
                </c:pt>
                <c:pt idx="85">
                  <c:v>3.0316919998655716</c:v>
                </c:pt>
                <c:pt idx="86">
                  <c:v>3.160217332825876</c:v>
                </c:pt>
                <c:pt idx="87">
                  <c:v>3.4044445513741484</c:v>
                </c:pt>
                <c:pt idx="88">
                  <c:v>3.4126508459325131</c:v>
                </c:pt>
                <c:pt idx="89">
                  <c:v>3.4104308138167281</c:v>
                </c:pt>
                <c:pt idx="90">
                  <c:v>3.6121951210760996</c:v>
                </c:pt>
                <c:pt idx="91">
                  <c:v>3.771797376188573</c:v>
                </c:pt>
                <c:pt idx="92">
                  <c:v>3.7740077945878436</c:v>
                </c:pt>
                <c:pt idx="93">
                  <c:v>3.7496154619015516</c:v>
                </c:pt>
                <c:pt idx="94">
                  <c:v>3.6950865442821423</c:v>
                </c:pt>
                <c:pt idx="95">
                  <c:v>3.6948504968025162</c:v>
                </c:pt>
                <c:pt idx="96">
                  <c:v>3.7756070623697719</c:v>
                </c:pt>
                <c:pt idx="97">
                  <c:v>3.6795465654384905</c:v>
                </c:pt>
                <c:pt idx="98">
                  <c:v>3.666065458145316</c:v>
                </c:pt>
                <c:pt idx="99">
                  <c:v>3.5341132530270589</c:v>
                </c:pt>
                <c:pt idx="100">
                  <c:v>3.3832477716107285</c:v>
                </c:pt>
                <c:pt idx="101">
                  <c:v>3.1822162009243038</c:v>
                </c:pt>
                <c:pt idx="102">
                  <c:v>3.1701912546995668</c:v>
                </c:pt>
                <c:pt idx="103">
                  <c:v>3.1385861676428028</c:v>
                </c:pt>
                <c:pt idx="104">
                  <c:v>2.9635345430086244</c:v>
                </c:pt>
                <c:pt idx="105">
                  <c:v>2.9537749745696922</c:v>
                </c:pt>
                <c:pt idx="106">
                  <c:v>2.8341971249126821</c:v>
                </c:pt>
                <c:pt idx="107">
                  <c:v>2.9226581583566795</c:v>
                </c:pt>
              </c:numCache>
            </c:numRef>
          </c:val>
          <c:smooth val="0"/>
          <c:extLst>
            <c:ext xmlns:c16="http://schemas.microsoft.com/office/drawing/2014/chart" uri="{C3380CC4-5D6E-409C-BE32-E72D297353CC}">
              <c16:uniqueId val="{00000005-3D14-4853-A0CD-24A7E0A306A1}"/>
            </c:ext>
          </c:extLst>
        </c:ser>
        <c:ser>
          <c:idx val="6"/>
          <c:order val="6"/>
          <c:tx>
            <c:strRef>
              <c:f>AC!$BC$1</c:f>
              <c:strCache>
                <c:ptCount val="1"/>
                <c:pt idx="0">
                  <c:v>iShares MSCI World ETF Beta</c:v>
                </c:pt>
              </c:strCache>
            </c:strRef>
          </c:tx>
          <c:spPr>
            <a:ln w="28575" cap="rnd">
              <a:solidFill>
                <a:srgbClr val="5E838C"/>
              </a:solidFill>
              <a:round/>
            </a:ln>
            <a:effectLst/>
          </c:spPr>
          <c:marker>
            <c:symbol val="none"/>
          </c:marker>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AC!$BC$2:$BC$109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2.123885719927212E-2</c:v>
                </c:pt>
                <c:pt idx="60">
                  <c:v>1.9878162192758779E-2</c:v>
                </c:pt>
                <c:pt idx="61">
                  <c:v>1.9277548936337072E-2</c:v>
                </c:pt>
                <c:pt idx="62">
                  <c:v>2.1465010990359953E-2</c:v>
                </c:pt>
                <c:pt idx="63">
                  <c:v>2.0282001907465222E-2</c:v>
                </c:pt>
                <c:pt idx="64">
                  <c:v>1.9157384174125301E-2</c:v>
                </c:pt>
                <c:pt idx="65">
                  <c:v>1.4447022795612361E-2</c:v>
                </c:pt>
                <c:pt idx="66">
                  <c:v>1.6631825342669375E-2</c:v>
                </c:pt>
                <c:pt idx="67">
                  <c:v>2.2898586042827507E-2</c:v>
                </c:pt>
                <c:pt idx="68">
                  <c:v>2.3068123163787542E-2</c:v>
                </c:pt>
                <c:pt idx="69">
                  <c:v>2.4810685531945768E-2</c:v>
                </c:pt>
                <c:pt idx="70">
                  <c:v>2.0070409300969733E-2</c:v>
                </c:pt>
                <c:pt idx="71">
                  <c:v>1.8215508119841968E-2</c:v>
                </c:pt>
                <c:pt idx="72">
                  <c:v>1.7454805486241502E-2</c:v>
                </c:pt>
                <c:pt idx="73">
                  <c:v>1.4755398729942215E-2</c:v>
                </c:pt>
                <c:pt idx="74">
                  <c:v>1.7212332406305327E-2</c:v>
                </c:pt>
                <c:pt idx="75">
                  <c:v>1.6567663620909074E-2</c:v>
                </c:pt>
                <c:pt idx="76">
                  <c:v>1.6269652506521081E-2</c:v>
                </c:pt>
                <c:pt idx="77">
                  <c:v>2.3513944882074027E-2</c:v>
                </c:pt>
                <c:pt idx="78">
                  <c:v>2.7153915998442409E-2</c:v>
                </c:pt>
                <c:pt idx="79">
                  <c:v>2.7087609414061683E-2</c:v>
                </c:pt>
                <c:pt idx="80">
                  <c:v>3.2581105643585587E-2</c:v>
                </c:pt>
                <c:pt idx="81">
                  <c:v>3.4932696871131222E-2</c:v>
                </c:pt>
                <c:pt idx="82">
                  <c:v>4.0188929589378662E-2</c:v>
                </c:pt>
                <c:pt idx="83">
                  <c:v>3.7269037956028248E-2</c:v>
                </c:pt>
                <c:pt idx="84">
                  <c:v>2.5616258625074738E-2</c:v>
                </c:pt>
                <c:pt idx="85">
                  <c:v>2.4663750343476055E-2</c:v>
                </c:pt>
                <c:pt idx="86">
                  <c:v>2.8814794361122567E-2</c:v>
                </c:pt>
                <c:pt idx="87">
                  <c:v>3.4064005412481446E-2</c:v>
                </c:pt>
                <c:pt idx="88">
                  <c:v>3.3452839740780116E-2</c:v>
                </c:pt>
                <c:pt idx="89">
                  <c:v>3.3849537577241864E-2</c:v>
                </c:pt>
                <c:pt idx="90">
                  <c:v>3.3693060304202806E-2</c:v>
                </c:pt>
                <c:pt idx="91">
                  <c:v>3.0172203379740418E-2</c:v>
                </c:pt>
                <c:pt idx="92">
                  <c:v>2.8495376180485185E-2</c:v>
                </c:pt>
                <c:pt idx="93">
                  <c:v>2.8814710440768821E-2</c:v>
                </c:pt>
                <c:pt idx="94">
                  <c:v>2.6617134157648725E-2</c:v>
                </c:pt>
                <c:pt idx="95">
                  <c:v>2.6945679752814641E-2</c:v>
                </c:pt>
                <c:pt idx="96">
                  <c:v>2.2418116515665516E-2</c:v>
                </c:pt>
                <c:pt idx="97">
                  <c:v>2.1731373136876952E-2</c:v>
                </c:pt>
                <c:pt idx="98">
                  <c:v>1.9305781067470093E-2</c:v>
                </c:pt>
                <c:pt idx="99">
                  <c:v>2.1688552861104167E-2</c:v>
                </c:pt>
                <c:pt idx="100">
                  <c:v>1.8328651498980542E-2</c:v>
                </c:pt>
                <c:pt idx="101">
                  <c:v>2.1331993328399305E-2</c:v>
                </c:pt>
                <c:pt idx="102">
                  <c:v>1.9487418628260884E-2</c:v>
                </c:pt>
                <c:pt idx="103">
                  <c:v>2.0334522770575021E-2</c:v>
                </c:pt>
                <c:pt idx="104">
                  <c:v>1.8632708930007773E-2</c:v>
                </c:pt>
                <c:pt idx="105">
                  <c:v>1.7845271468767028E-2</c:v>
                </c:pt>
                <c:pt idx="106">
                  <c:v>1.8561203675443248E-2</c:v>
                </c:pt>
                <c:pt idx="107">
                  <c:v>1.4927847158420084E-2</c:v>
                </c:pt>
              </c:numCache>
            </c:numRef>
          </c:val>
          <c:smooth val="0"/>
          <c:extLst>
            <c:ext xmlns:c16="http://schemas.microsoft.com/office/drawing/2014/chart" uri="{C3380CC4-5D6E-409C-BE32-E72D297353CC}">
              <c16:uniqueId val="{00000006-3D14-4853-A0CD-24A7E0A306A1}"/>
            </c:ext>
          </c:extLst>
        </c:ser>
        <c:ser>
          <c:idx val="7"/>
          <c:order val="7"/>
          <c:tx>
            <c:strRef>
              <c:f>AC!$BD$1</c:f>
              <c:strCache>
                <c:ptCount val="1"/>
                <c:pt idx="0">
                  <c:v>RobecoSAM Sustainable EE Beta</c:v>
                </c:pt>
              </c:strCache>
            </c:strRef>
          </c:tx>
          <c:spPr>
            <a:ln w="28575" cap="rnd">
              <a:solidFill>
                <a:schemeClr val="accent2"/>
              </a:solidFill>
              <a:round/>
            </a:ln>
            <a:effectLst/>
          </c:spPr>
          <c:marker>
            <c:symbol val="none"/>
          </c:marker>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AC!$BD$2:$BD$109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-0.1885049843343993</c:v>
                </c:pt>
                <c:pt idx="60">
                  <c:v>-0.17756065955255471</c:v>
                </c:pt>
                <c:pt idx="61">
                  <c:v>-0.14917048326448604</c:v>
                </c:pt>
                <c:pt idx="62">
                  <c:v>-0.16393854568158794</c:v>
                </c:pt>
                <c:pt idx="63">
                  <c:v>-0.14976112320458479</c:v>
                </c:pt>
                <c:pt idx="64">
                  <c:v>-0.15669278435836673</c:v>
                </c:pt>
                <c:pt idx="65">
                  <c:v>-0.12211462939261926</c:v>
                </c:pt>
                <c:pt idx="66">
                  <c:v>-0.1296377734768486</c:v>
                </c:pt>
                <c:pt idx="67">
                  <c:v>-0.19376447545368006</c:v>
                </c:pt>
                <c:pt idx="68">
                  <c:v>-0.19143734245923272</c:v>
                </c:pt>
                <c:pt idx="69">
                  <c:v>-0.19571921719675855</c:v>
                </c:pt>
                <c:pt idx="70">
                  <c:v>-0.13783842080493064</c:v>
                </c:pt>
                <c:pt idx="71">
                  <c:v>-0.14516569064002574</c:v>
                </c:pt>
                <c:pt idx="72">
                  <c:v>-0.15142571381739592</c:v>
                </c:pt>
                <c:pt idx="73">
                  <c:v>-0.10373712296689445</c:v>
                </c:pt>
                <c:pt idx="74">
                  <c:v>-0.11525680361904378</c:v>
                </c:pt>
                <c:pt idx="75">
                  <c:v>-7.3497424412854895E-2</c:v>
                </c:pt>
                <c:pt idx="76">
                  <c:v>-7.0953612741582253E-2</c:v>
                </c:pt>
                <c:pt idx="77">
                  <c:v>-0.12370655549669402</c:v>
                </c:pt>
                <c:pt idx="78">
                  <c:v>-0.13955534254702839</c:v>
                </c:pt>
                <c:pt idx="79">
                  <c:v>-9.2858209312335543E-2</c:v>
                </c:pt>
                <c:pt idx="80">
                  <c:v>-5.6277688194415157E-2</c:v>
                </c:pt>
                <c:pt idx="81">
                  <c:v>-0.12748143514566831</c:v>
                </c:pt>
                <c:pt idx="82">
                  <c:v>-5.9983104566024313E-2</c:v>
                </c:pt>
                <c:pt idx="83">
                  <c:v>-8.5474896592701369E-2</c:v>
                </c:pt>
                <c:pt idx="84">
                  <c:v>-4.5199189303641384E-2</c:v>
                </c:pt>
                <c:pt idx="85">
                  <c:v>-3.934077228052469E-2</c:v>
                </c:pt>
                <c:pt idx="86">
                  <c:v>-9.3709922121663208E-2</c:v>
                </c:pt>
                <c:pt idx="87">
                  <c:v>-0.11622201123716708</c:v>
                </c:pt>
                <c:pt idx="88">
                  <c:v>-0.11158091110620301</c:v>
                </c:pt>
                <c:pt idx="89">
                  <c:v>-0.11575962527119568</c:v>
                </c:pt>
                <c:pt idx="90">
                  <c:v>-0.21413210334369978</c:v>
                </c:pt>
                <c:pt idx="91">
                  <c:v>-0.21611431489538241</c:v>
                </c:pt>
                <c:pt idx="92">
                  <c:v>-0.22964046600883539</c:v>
                </c:pt>
                <c:pt idx="93">
                  <c:v>-0.23573620980883864</c:v>
                </c:pt>
                <c:pt idx="94">
                  <c:v>-0.22394056692563363</c:v>
                </c:pt>
                <c:pt idx="95">
                  <c:v>-0.22129618958904457</c:v>
                </c:pt>
                <c:pt idx="96">
                  <c:v>-0.25528207882608683</c:v>
                </c:pt>
                <c:pt idx="97">
                  <c:v>-0.24793633489936706</c:v>
                </c:pt>
                <c:pt idx="98">
                  <c:v>-0.23858049454366562</c:v>
                </c:pt>
                <c:pt idx="99">
                  <c:v>-0.19964345665850503</c:v>
                </c:pt>
                <c:pt idx="100">
                  <c:v>-0.21993211339802871</c:v>
                </c:pt>
                <c:pt idx="101">
                  <c:v>-0.24444939920249589</c:v>
                </c:pt>
                <c:pt idx="102">
                  <c:v>-0.24678969897321049</c:v>
                </c:pt>
                <c:pt idx="103">
                  <c:v>-0.25264219092852214</c:v>
                </c:pt>
                <c:pt idx="104">
                  <c:v>-0.24464835111363656</c:v>
                </c:pt>
                <c:pt idx="105">
                  <c:v>-0.24250572402788567</c:v>
                </c:pt>
                <c:pt idx="106">
                  <c:v>-0.2262036910272637</c:v>
                </c:pt>
                <c:pt idx="107">
                  <c:v>-0.1704803227326854</c:v>
                </c:pt>
              </c:numCache>
            </c:numRef>
          </c:val>
          <c:smooth val="0"/>
          <c:extLst>
            <c:ext xmlns:c16="http://schemas.microsoft.com/office/drawing/2014/chart" uri="{C3380CC4-5D6E-409C-BE32-E72D297353CC}">
              <c16:uniqueId val="{00000007-3D14-4853-A0CD-24A7E0A306A1}"/>
            </c:ext>
          </c:extLst>
        </c:ser>
        <c:ser>
          <c:idx val="8"/>
          <c:order val="8"/>
          <c:tx>
            <c:strRef>
              <c:f>AC!$BE$1</c:f>
              <c:strCache>
                <c:ptCount val="1"/>
                <c:pt idx="0">
                  <c:v>UniNachhaltig Aktien G Beta</c:v>
                </c:pt>
              </c:strCache>
            </c:strRef>
          </c:tx>
          <c:spPr>
            <a:ln w="28575" cap="rnd">
              <a:solidFill>
                <a:srgbClr val="8CA83E"/>
              </a:solidFill>
              <a:round/>
            </a:ln>
            <a:effectLst/>
          </c:spPr>
          <c:marker>
            <c:symbol val="none"/>
          </c:marker>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AC!$BE$2:$BE$109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-0.25011451512380622</c:v>
                </c:pt>
                <c:pt idx="60">
                  <c:v>-0.26150244604088918</c:v>
                </c:pt>
                <c:pt idx="61">
                  <c:v>-0.24731647007205892</c:v>
                </c:pt>
                <c:pt idx="62">
                  <c:v>-0.25303394803582896</c:v>
                </c:pt>
                <c:pt idx="63">
                  <c:v>-0.24736743369128417</c:v>
                </c:pt>
                <c:pt idx="64">
                  <c:v>-0.23464485223017756</c:v>
                </c:pt>
                <c:pt idx="65">
                  <c:v>-0.21935678972138808</c:v>
                </c:pt>
                <c:pt idx="66">
                  <c:v>-0.21591125164971997</c:v>
                </c:pt>
                <c:pt idx="67">
                  <c:v>-0.24985694714955867</c:v>
                </c:pt>
                <c:pt idx="68">
                  <c:v>-0.28730718272884703</c:v>
                </c:pt>
                <c:pt idx="69">
                  <c:v>-0.29130609046500305</c:v>
                </c:pt>
                <c:pt idx="70">
                  <c:v>-0.29490550940971888</c:v>
                </c:pt>
                <c:pt idx="71">
                  <c:v>-0.30672931804287734</c:v>
                </c:pt>
                <c:pt idx="72">
                  <c:v>-0.30679276384279885</c:v>
                </c:pt>
                <c:pt idx="73">
                  <c:v>-0.29754354594327148</c:v>
                </c:pt>
                <c:pt idx="74">
                  <c:v>-0.2911083480885937</c:v>
                </c:pt>
                <c:pt idx="75">
                  <c:v>-0.29084774354703929</c:v>
                </c:pt>
                <c:pt idx="76">
                  <c:v>-0.29226192677805962</c:v>
                </c:pt>
                <c:pt idx="77">
                  <c:v>-0.25674921597832601</c:v>
                </c:pt>
                <c:pt idx="78">
                  <c:v>-0.24165654962068764</c:v>
                </c:pt>
                <c:pt idx="79">
                  <c:v>-0.2250642132835744</c:v>
                </c:pt>
                <c:pt idx="80">
                  <c:v>-0.23008265978119238</c:v>
                </c:pt>
                <c:pt idx="81">
                  <c:v>-0.26514764851397715</c:v>
                </c:pt>
                <c:pt idx="82">
                  <c:v>-0.25278506228846098</c:v>
                </c:pt>
                <c:pt idx="83">
                  <c:v>-0.24373007375146843</c:v>
                </c:pt>
                <c:pt idx="84">
                  <c:v>-0.20180081353348861</c:v>
                </c:pt>
                <c:pt idx="85">
                  <c:v>-0.20038571723983006</c:v>
                </c:pt>
                <c:pt idx="86">
                  <c:v>-0.17406336988730597</c:v>
                </c:pt>
                <c:pt idx="87">
                  <c:v>-0.1678468623003537</c:v>
                </c:pt>
                <c:pt idx="88">
                  <c:v>-0.1681522185797257</c:v>
                </c:pt>
                <c:pt idx="89">
                  <c:v>-0.17081310070389924</c:v>
                </c:pt>
                <c:pt idx="90">
                  <c:v>-0.15204943542250363</c:v>
                </c:pt>
                <c:pt idx="91">
                  <c:v>-0.12820501003998566</c:v>
                </c:pt>
                <c:pt idx="92">
                  <c:v>-0.13470258336079163</c:v>
                </c:pt>
                <c:pt idx="93">
                  <c:v>-0.1358650523725701</c:v>
                </c:pt>
                <c:pt idx="94">
                  <c:v>-0.16569056523565362</c:v>
                </c:pt>
                <c:pt idx="95">
                  <c:v>-0.17075704098143177</c:v>
                </c:pt>
                <c:pt idx="96">
                  <c:v>-0.12475014641411812</c:v>
                </c:pt>
                <c:pt idx="97">
                  <c:v>-0.13173374973456775</c:v>
                </c:pt>
                <c:pt idx="98">
                  <c:v>-0.13088591857872578</c:v>
                </c:pt>
                <c:pt idx="99">
                  <c:v>-0.12385170515260323</c:v>
                </c:pt>
                <c:pt idx="100">
                  <c:v>-6.3678054908140089E-2</c:v>
                </c:pt>
                <c:pt idx="101">
                  <c:v>-6.1114931938183722E-2</c:v>
                </c:pt>
                <c:pt idx="102">
                  <c:v>-6.8597181653337683E-2</c:v>
                </c:pt>
                <c:pt idx="103">
                  <c:v>-6.6950911635137597E-2</c:v>
                </c:pt>
                <c:pt idx="104">
                  <c:v>-7.4811517813099249E-2</c:v>
                </c:pt>
                <c:pt idx="105">
                  <c:v>-7.7118669964290787E-2</c:v>
                </c:pt>
                <c:pt idx="106">
                  <c:v>-7.4617825146120323E-2</c:v>
                </c:pt>
                <c:pt idx="107">
                  <c:v>-6.8779588172730291E-2</c:v>
                </c:pt>
              </c:numCache>
            </c:numRef>
          </c:val>
          <c:smooth val="0"/>
          <c:extLst>
            <c:ext xmlns:c16="http://schemas.microsoft.com/office/drawing/2014/chart" uri="{C3380CC4-5D6E-409C-BE32-E72D297353CC}">
              <c16:uniqueId val="{00000008-3D14-4853-A0CD-24A7E0A306A1}"/>
            </c:ext>
          </c:extLst>
        </c:ser>
        <c:ser>
          <c:idx val="9"/>
          <c:order val="9"/>
          <c:tx>
            <c:strRef>
              <c:f>AC!$BF$1</c:f>
              <c:strCache>
                <c:ptCount val="1"/>
                <c:pt idx="0">
                  <c:v>ProShares UltraShort Oil &amp; Gas Beta</c:v>
                </c:pt>
              </c:strCache>
            </c:strRef>
          </c:tx>
          <c:spPr>
            <a:ln w="28575" cap="rnd">
              <a:solidFill>
                <a:srgbClr val="00B0F0"/>
              </a:solidFill>
              <a:round/>
            </a:ln>
            <a:effectLst/>
          </c:spPr>
          <c:marker>
            <c:symbol val="none"/>
          </c:marker>
          <c:cat>
            <c:numRef>
              <c:f>AC!$AV$2:$AV$109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AC!$BF$2:$BF$109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-2.0719617385588052</c:v>
                </c:pt>
                <c:pt idx="60">
                  <c:v>-2.0983975067972338</c:v>
                </c:pt>
                <c:pt idx="61">
                  <c:v>-2.1049355323447703</c:v>
                </c:pt>
                <c:pt idx="62">
                  <c:v>-2.1403123300987166</c:v>
                </c:pt>
                <c:pt idx="63">
                  <c:v>-2.1442133008249051</c:v>
                </c:pt>
                <c:pt idx="64">
                  <c:v>-2.2299353033134968</c:v>
                </c:pt>
                <c:pt idx="65">
                  <c:v>-2.247264412980869</c:v>
                </c:pt>
                <c:pt idx="66">
                  <c:v>-2.4204436402710892</c:v>
                </c:pt>
                <c:pt idx="67">
                  <c:v>-2.4960611886010944</c:v>
                </c:pt>
                <c:pt idx="68">
                  <c:v>-2.5641470745903971</c:v>
                </c:pt>
                <c:pt idx="69">
                  <c:v>-2.578283485419655</c:v>
                </c:pt>
                <c:pt idx="70">
                  <c:v>-2.3279223362819943</c:v>
                </c:pt>
                <c:pt idx="71">
                  <c:v>-2.4231545654133897</c:v>
                </c:pt>
                <c:pt idx="72">
                  <c:v>-2.5531902633954595</c:v>
                </c:pt>
                <c:pt idx="73">
                  <c:v>-2.4391654779775798</c:v>
                </c:pt>
                <c:pt idx="74">
                  <c:v>-2.4153371619056685</c:v>
                </c:pt>
                <c:pt idx="75">
                  <c:v>-2.4382199282869301</c:v>
                </c:pt>
                <c:pt idx="76">
                  <c:v>-2.4244925271051927</c:v>
                </c:pt>
                <c:pt idx="77">
                  <c:v>-2.4884175090282463</c:v>
                </c:pt>
                <c:pt idx="78">
                  <c:v>-2.5297988553476114</c:v>
                </c:pt>
                <c:pt idx="79">
                  <c:v>-2.4843616860895508</c:v>
                </c:pt>
                <c:pt idx="80">
                  <c:v>-2.4763159614243566</c:v>
                </c:pt>
                <c:pt idx="81">
                  <c:v>-2.4132475012210248</c:v>
                </c:pt>
                <c:pt idx="82">
                  <c:v>-2.287192243280094</c:v>
                </c:pt>
                <c:pt idx="83">
                  <c:v>-2.3089190067810543</c:v>
                </c:pt>
                <c:pt idx="84">
                  <c:v>-1.7442533086928274</c:v>
                </c:pt>
                <c:pt idx="85">
                  <c:v>-1.7607027648540476</c:v>
                </c:pt>
                <c:pt idx="86">
                  <c:v>-1.7680393352025316</c:v>
                </c:pt>
                <c:pt idx="87">
                  <c:v>-1.7803652029315673</c:v>
                </c:pt>
                <c:pt idx="88">
                  <c:v>-1.7936307499515345</c:v>
                </c:pt>
                <c:pt idx="89">
                  <c:v>-1.7864797944225328</c:v>
                </c:pt>
                <c:pt idx="90">
                  <c:v>-1.6171118175438488</c:v>
                </c:pt>
                <c:pt idx="91">
                  <c:v>-1.5300747286828269</c:v>
                </c:pt>
                <c:pt idx="92">
                  <c:v>-1.4632917802132488</c:v>
                </c:pt>
                <c:pt idx="93">
                  <c:v>-1.4760672121686695</c:v>
                </c:pt>
                <c:pt idx="94">
                  <c:v>-1.5049359792042005</c:v>
                </c:pt>
                <c:pt idx="95">
                  <c:v>-1.4549572306475067</c:v>
                </c:pt>
                <c:pt idx="96">
                  <c:v>-1.5972617181947346</c:v>
                </c:pt>
                <c:pt idx="97">
                  <c:v>-1.5160479003137848</c:v>
                </c:pt>
                <c:pt idx="98">
                  <c:v>-1.5736021668411928</c:v>
                </c:pt>
                <c:pt idx="99">
                  <c:v>-1.5961432217906171</c:v>
                </c:pt>
                <c:pt idx="100">
                  <c:v>-1.9480436878859921</c:v>
                </c:pt>
                <c:pt idx="101">
                  <c:v>-2.0451868798192021</c:v>
                </c:pt>
                <c:pt idx="102">
                  <c:v>-2.0500946447621762</c:v>
                </c:pt>
                <c:pt idx="103">
                  <c:v>-2.0593588073780791</c:v>
                </c:pt>
                <c:pt idx="104">
                  <c:v>-2.0626055205838272</c:v>
                </c:pt>
                <c:pt idx="105">
                  <c:v>-2.090408349796915</c:v>
                </c:pt>
                <c:pt idx="106">
                  <c:v>-2.1085582817468724</c:v>
                </c:pt>
                <c:pt idx="107">
                  <c:v>-1.8395247687243172</c:v>
                </c:pt>
              </c:numCache>
            </c:numRef>
          </c:val>
          <c:smooth val="0"/>
          <c:extLst>
            <c:ext xmlns:c16="http://schemas.microsoft.com/office/drawing/2014/chart" uri="{C3380CC4-5D6E-409C-BE32-E72D297353CC}">
              <c16:uniqueId val="{00000009-3D14-4853-A0CD-24A7E0A306A1}"/>
            </c:ext>
          </c:extLst>
        </c:ser>
        <c:dLbls>
          <c:showLegendKey val="0"/>
          <c:showVal val="0"/>
          <c:showCatName val="0"/>
          <c:showSerName val="0"/>
          <c:showPercent val="0"/>
          <c:showBubbleSize val="0"/>
        </c:dLbls>
        <c:marker val="1"/>
        <c:smooth val="0"/>
        <c:axId val="728247792"/>
        <c:axId val="728249432"/>
      </c:lineChart>
      <c:dateAx>
        <c:axId val="751882712"/>
        <c:scaling>
          <c:orientation val="minMax"/>
        </c:scaling>
        <c:delete val="0"/>
        <c:axPos val="b"/>
        <c:numFmt formatCode="[$-409]mmm\-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0"/>
        <c:lblOffset val="100"/>
        <c:baseTimeUnit val="months"/>
        <c:majorUnit val="6"/>
        <c:majorTimeUnit val="months"/>
      </c:dateAx>
      <c:valAx>
        <c:axId val="751885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valAx>
        <c:axId val="728249432"/>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Carbon Beta</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28247792"/>
        <c:crosses val="max"/>
        <c:crossBetween val="between"/>
      </c:valAx>
      <c:dateAx>
        <c:axId val="728247792"/>
        <c:scaling>
          <c:orientation val="minMax"/>
        </c:scaling>
        <c:delete val="1"/>
        <c:axPos val="b"/>
        <c:numFmt formatCode="[$-409]mmm\-yy;@" sourceLinked="1"/>
        <c:majorTickMark val="out"/>
        <c:minorTickMark val="none"/>
        <c:tickLblPos val="nextTo"/>
        <c:crossAx val="728249432"/>
        <c:crosses val="autoZero"/>
        <c:auto val="0"/>
        <c:lblOffset val="100"/>
        <c:baseTimeUnit val="months"/>
      </c:dateAx>
      <c:spPr>
        <a:noFill/>
        <a:ln>
          <a:no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4.6503271646924013E-2"/>
          <c:y val="0.81992996221028802"/>
          <c:w val="0.91729448066733021"/>
          <c:h val="0.1656678368612425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36880835381709"/>
          <c:y val="1.6251668995219449E-2"/>
          <c:w val="0.84059538413587098"/>
          <c:h val="0.90704326859709195"/>
        </c:manualLayout>
      </c:layout>
      <c:barChart>
        <c:barDir val="bar"/>
        <c:grouping val="stacked"/>
        <c:varyColors val="0"/>
        <c:ser>
          <c:idx val="0"/>
          <c:order val="0"/>
          <c:tx>
            <c:strRef>
              <c:f>AC!$BU$10</c:f>
              <c:strCache>
                <c:ptCount val="1"/>
                <c:pt idx="0">
                  <c:v>Bottom</c:v>
                </c:pt>
              </c:strCache>
            </c:strRef>
          </c:tx>
          <c:spPr>
            <a:solidFill>
              <a:srgbClr val="8CA83E"/>
            </a:solidFill>
            <a:ln>
              <a:solidFill>
                <a:schemeClr val="bg1"/>
              </a:solidFill>
            </a:ln>
            <a:effectLst/>
          </c:spPr>
          <c:invertIfNegative val="0"/>
          <c:dPt>
            <c:idx val="0"/>
            <c:invertIfNegative val="0"/>
            <c:bubble3D val="0"/>
            <c:spPr>
              <a:noFill/>
              <a:ln>
                <a:noFill/>
              </a:ln>
              <a:effectLst/>
            </c:spPr>
            <c:extLst>
              <c:ext xmlns:c16="http://schemas.microsoft.com/office/drawing/2014/chart" uri="{C3380CC4-5D6E-409C-BE32-E72D297353CC}">
                <c16:uniqueId val="{00000001-603C-4F5F-9B29-772D47931B97}"/>
              </c:ext>
            </c:extLst>
          </c:dPt>
          <c:errBars>
            <c:errBarType val="plus"/>
            <c:errValType val="cust"/>
            <c:noEndCap val="0"/>
            <c:plus>
              <c:numRef>
                <c:f>AC!$BV$13:$CF$13</c:f>
                <c:numCache>
                  <c:formatCode>General</c:formatCode>
                  <c:ptCount val="11"/>
                  <c:pt idx="0">
                    <c:v>-1.2055629999999999</c:v>
                  </c:pt>
                  <c:pt idx="1">
                    <c:v>-0.98407860000000003</c:v>
                  </c:pt>
                  <c:pt idx="2">
                    <c:v>-0.84159790000000001</c:v>
                  </c:pt>
                  <c:pt idx="3">
                    <c:v>-0.76045687000000006</c:v>
                  </c:pt>
                  <c:pt idx="4">
                    <c:v>-0.94261109999999992</c:v>
                  </c:pt>
                  <c:pt idx="5">
                    <c:v>-0.83263300000000018</c:v>
                  </c:pt>
                  <c:pt idx="6">
                    <c:v>-0.88949190000000011</c:v>
                  </c:pt>
                  <c:pt idx="7">
                    <c:v>-0.88300149999999999</c:v>
                  </c:pt>
                  <c:pt idx="8">
                    <c:v>-0.76877449999999992</c:v>
                  </c:pt>
                  <c:pt idx="9">
                    <c:v>-1.0768553999999999</c:v>
                  </c:pt>
                  <c:pt idx="10">
                    <c:v>-1.0133748</c:v>
                  </c:pt>
                </c:numCache>
              </c:numRef>
            </c:plus>
            <c:minus>
              <c:numRef>
                <c:f>AC!$BV$13:$BW$13</c:f>
                <c:numCache>
                  <c:formatCode>General</c:formatCode>
                  <c:ptCount val="2"/>
                  <c:pt idx="0">
                    <c:v>-1.2055629999999999</c:v>
                  </c:pt>
                  <c:pt idx="1">
                    <c:v>-0.98407860000000003</c:v>
                  </c:pt>
                </c:numCache>
              </c:numRef>
            </c:minus>
            <c:spPr>
              <a:noFill/>
              <a:ln w="9525" cap="flat" cmpd="sng" algn="ctr">
                <a:solidFill>
                  <a:srgbClr val="5E838C"/>
                </a:solidFill>
                <a:round/>
              </a:ln>
              <a:effectLst/>
            </c:spPr>
          </c:errBars>
          <c:cat>
            <c:strRef>
              <c:f>AC!$BV$9:$CF$9</c:f>
              <c:strCache>
                <c:ptCount val="11"/>
                <c:pt idx="0">
                  <c:v>Energy</c:v>
                </c:pt>
                <c:pt idx="1">
                  <c:v>Basic Materials</c:v>
                </c:pt>
                <c:pt idx="2">
                  <c:v>Utilities</c:v>
                </c:pt>
                <c:pt idx="3">
                  <c:v>Real Estate</c:v>
                </c:pt>
                <c:pt idx="4">
                  <c:v>Healthcare</c:v>
                </c:pt>
                <c:pt idx="5">
                  <c:v>Communication Services</c:v>
                </c:pt>
                <c:pt idx="6">
                  <c:v>Consumer Cyclical</c:v>
                </c:pt>
                <c:pt idx="7">
                  <c:v>Financial Services</c:v>
                </c:pt>
                <c:pt idx="8">
                  <c:v>Consumer Defensive</c:v>
                </c:pt>
                <c:pt idx="9">
                  <c:v>Industry</c:v>
                </c:pt>
                <c:pt idx="10">
                  <c:v>Technology</c:v>
                </c:pt>
              </c:strCache>
            </c:strRef>
          </c:cat>
          <c:val>
            <c:numRef>
              <c:f>AC!$BV$10:$CF$10</c:f>
              <c:numCache>
                <c:formatCode>0.00</c:formatCode>
                <c:ptCount val="11"/>
                <c:pt idx="0">
                  <c:v>5.0099100000000001E-2</c:v>
                </c:pt>
                <c:pt idx="1">
                  <c:v>-4.4764600000000002E-2</c:v>
                </c:pt>
                <c:pt idx="2">
                  <c:v>-0.19535250000000001</c:v>
                </c:pt>
                <c:pt idx="3">
                  <c:v>-0.20789750000000001</c:v>
                </c:pt>
                <c:pt idx="4">
                  <c:v>-0.29418169999999999</c:v>
                </c:pt>
                <c:pt idx="5">
                  <c:v>-0.32667479999999999</c:v>
                </c:pt>
                <c:pt idx="6">
                  <c:v>-0.30464869999999999</c:v>
                </c:pt>
                <c:pt idx="7">
                  <c:v>-0.34198309999999998</c:v>
                </c:pt>
                <c:pt idx="8">
                  <c:v>-0.26536500000000002</c:v>
                </c:pt>
                <c:pt idx="9">
                  <c:v>-0.40551619999999999</c:v>
                </c:pt>
                <c:pt idx="10">
                  <c:v>-0.39610879999999998</c:v>
                </c:pt>
              </c:numCache>
            </c:numRef>
          </c:val>
          <c:extLst>
            <c:ext xmlns:c16="http://schemas.microsoft.com/office/drawing/2014/chart" uri="{C3380CC4-5D6E-409C-BE32-E72D297353CC}">
              <c16:uniqueId val="{00000002-603C-4F5F-9B29-772D47931B97}"/>
            </c:ext>
          </c:extLst>
        </c:ser>
        <c:ser>
          <c:idx val="1"/>
          <c:order val="1"/>
          <c:tx>
            <c:strRef>
              <c:f>AC!$BU$11</c:f>
              <c:strCache>
                <c:ptCount val="1"/>
                <c:pt idx="0">
                  <c:v>2QBox</c:v>
                </c:pt>
              </c:strCache>
            </c:strRef>
          </c:tx>
          <c:spPr>
            <a:solidFill>
              <a:srgbClr val="8B4513"/>
            </a:solidFill>
            <a:ln>
              <a:solidFill>
                <a:schemeClr val="bg1"/>
              </a:solidFill>
            </a:ln>
            <a:effectLst/>
          </c:spPr>
          <c:invertIfNegative val="0"/>
          <c:cat>
            <c:strRef>
              <c:f>AC!$BV$9:$CF$9</c:f>
              <c:strCache>
                <c:ptCount val="11"/>
                <c:pt idx="0">
                  <c:v>Energy</c:v>
                </c:pt>
                <c:pt idx="1">
                  <c:v>Basic Materials</c:v>
                </c:pt>
                <c:pt idx="2">
                  <c:v>Utilities</c:v>
                </c:pt>
                <c:pt idx="3">
                  <c:v>Real Estate</c:v>
                </c:pt>
                <c:pt idx="4">
                  <c:v>Healthcare</c:v>
                </c:pt>
                <c:pt idx="5">
                  <c:v>Communication Services</c:v>
                </c:pt>
                <c:pt idx="6">
                  <c:v>Consumer Cyclical</c:v>
                </c:pt>
                <c:pt idx="7">
                  <c:v>Financial Services</c:v>
                </c:pt>
                <c:pt idx="8">
                  <c:v>Consumer Defensive</c:v>
                </c:pt>
                <c:pt idx="9">
                  <c:v>Industry</c:v>
                </c:pt>
                <c:pt idx="10">
                  <c:v>Technology</c:v>
                </c:pt>
              </c:strCache>
            </c:strRef>
          </c:cat>
          <c:val>
            <c:numRef>
              <c:f>AC!$BV$11:$CF$11</c:f>
              <c:numCache>
                <c:formatCode>0.00</c:formatCode>
                <c:ptCount val="11"/>
                <c:pt idx="0">
                  <c:v>0.26796690000000001</c:v>
                </c:pt>
                <c:pt idx="1">
                  <c:v>0.2489459</c:v>
                </c:pt>
                <c:pt idx="2">
                  <c:v>0.1596543</c:v>
                </c:pt>
                <c:pt idx="3">
                  <c:v>8.9649099999999995E-2</c:v>
                </c:pt>
                <c:pt idx="4">
                  <c:v>8.4021899999999983E-2</c:v>
                </c:pt>
                <c:pt idx="5">
                  <c:v>6.6654500000000005E-2</c:v>
                </c:pt>
                <c:pt idx="6">
                  <c:v>5.1864100000000024E-2</c:v>
                </c:pt>
                <c:pt idx="7">
                  <c:v>4.2600799999999994E-2</c:v>
                </c:pt>
                <c:pt idx="8">
                  <c:v>3.4173399999999993E-2</c:v>
                </c:pt>
                <c:pt idx="9">
                  <c:v>2.9117899999999974E-2</c:v>
                </c:pt>
                <c:pt idx="10">
                  <c:v>8.9412999999999854E-3</c:v>
                </c:pt>
              </c:numCache>
            </c:numRef>
          </c:val>
          <c:extLst>
            <c:ext xmlns:c16="http://schemas.microsoft.com/office/drawing/2014/chart" uri="{C3380CC4-5D6E-409C-BE32-E72D297353CC}">
              <c16:uniqueId val="{00000003-603C-4F5F-9B29-772D47931B97}"/>
            </c:ext>
          </c:extLst>
        </c:ser>
        <c:ser>
          <c:idx val="2"/>
          <c:order val="2"/>
          <c:tx>
            <c:strRef>
              <c:f>AC!$BU$12</c:f>
              <c:strCache>
                <c:ptCount val="1"/>
                <c:pt idx="0">
                  <c:v>3QBox</c:v>
                </c:pt>
              </c:strCache>
            </c:strRef>
          </c:tx>
          <c:spPr>
            <a:solidFill>
              <a:srgbClr val="8B4513"/>
            </a:solidFill>
            <a:ln>
              <a:solidFill>
                <a:schemeClr val="bg1"/>
              </a:solidFill>
            </a:ln>
            <a:effectLst/>
          </c:spPr>
          <c:invertIfNegative val="0"/>
          <c:errBars>
            <c:errBarType val="plus"/>
            <c:errValType val="cust"/>
            <c:noEndCap val="0"/>
            <c:plus>
              <c:numRef>
                <c:f>AC!$BV$14:$CF$14</c:f>
                <c:numCache>
                  <c:formatCode>General</c:formatCode>
                  <c:ptCount val="11"/>
                  <c:pt idx="0">
                    <c:v>1.2097298999999999</c:v>
                  </c:pt>
                  <c:pt idx="1">
                    <c:v>0.98751230000000001</c:v>
                  </c:pt>
                  <c:pt idx="2">
                    <c:v>0.73149059999999999</c:v>
                  </c:pt>
                  <c:pt idx="3">
                    <c:v>0.74307239999999997</c:v>
                  </c:pt>
                  <c:pt idx="4">
                    <c:v>0.96643590000000001</c:v>
                  </c:pt>
                  <c:pt idx="5">
                    <c:v>0.7999312999999999</c:v>
                  </c:pt>
                  <c:pt idx="6">
                    <c:v>0.88078650000000014</c:v>
                  </c:pt>
                  <c:pt idx="7">
                    <c:v>0.86924299999999999</c:v>
                  </c:pt>
                  <c:pt idx="8">
                    <c:v>0.78598699999999999</c:v>
                  </c:pt>
                  <c:pt idx="9">
                    <c:v>1.0821159</c:v>
                  </c:pt>
                  <c:pt idx="10">
                    <c:v>0.98139789999999993</c:v>
                  </c:pt>
                </c:numCache>
              </c:numRef>
            </c:plus>
            <c:minus>
              <c:numLit>
                <c:formatCode>General</c:formatCode>
                <c:ptCount val="1"/>
                <c:pt idx="0">
                  <c:v>1</c:v>
                </c:pt>
              </c:numLit>
            </c:minus>
            <c:spPr>
              <a:noFill/>
              <a:ln w="9525" cap="flat" cmpd="sng" algn="ctr">
                <a:solidFill>
                  <a:srgbClr val="5E838C"/>
                </a:solidFill>
                <a:round/>
              </a:ln>
              <a:effectLst/>
            </c:spPr>
          </c:errBars>
          <c:cat>
            <c:strRef>
              <c:f>AC!$BV$9:$CF$9</c:f>
              <c:strCache>
                <c:ptCount val="11"/>
                <c:pt idx="0">
                  <c:v>Energy</c:v>
                </c:pt>
                <c:pt idx="1">
                  <c:v>Basic Materials</c:v>
                </c:pt>
                <c:pt idx="2">
                  <c:v>Utilities</c:v>
                </c:pt>
                <c:pt idx="3">
                  <c:v>Real Estate</c:v>
                </c:pt>
                <c:pt idx="4">
                  <c:v>Healthcare</c:v>
                </c:pt>
                <c:pt idx="5">
                  <c:v>Communication Services</c:v>
                </c:pt>
                <c:pt idx="6">
                  <c:v>Consumer Cyclical</c:v>
                </c:pt>
                <c:pt idx="7">
                  <c:v>Financial Services</c:v>
                </c:pt>
                <c:pt idx="8">
                  <c:v>Consumer Defensive</c:v>
                </c:pt>
                <c:pt idx="9">
                  <c:v>Industry</c:v>
                </c:pt>
                <c:pt idx="10">
                  <c:v>Technology</c:v>
                </c:pt>
              </c:strCache>
            </c:strRef>
          </c:cat>
          <c:val>
            <c:numRef>
              <c:f>AC!$BV$12:$CF$12</c:f>
              <c:numCache>
                <c:formatCode>0.00</c:formatCode>
                <c:ptCount val="11"/>
                <c:pt idx="0">
                  <c:v>0.54065570000000007</c:v>
                </c:pt>
                <c:pt idx="1">
                  <c:v>0.36856050000000001</c:v>
                </c:pt>
                <c:pt idx="2">
                  <c:v>0.21472490000000002</c:v>
                </c:pt>
                <c:pt idx="3">
                  <c:v>0.20945380000000002</c:v>
                </c:pt>
                <c:pt idx="4">
                  <c:v>0.27586740000000004</c:v>
                </c:pt>
                <c:pt idx="5">
                  <c:v>0.21490779999999998</c:v>
                </c:pt>
                <c:pt idx="6">
                  <c:v>0.23849590000000001</c:v>
                </c:pt>
                <c:pt idx="7">
                  <c:v>0.20700750000000001</c:v>
                </c:pt>
                <c:pt idx="8">
                  <c:v>0.23047799999999999</c:v>
                </c:pt>
                <c:pt idx="9">
                  <c:v>0.28709280000000004</c:v>
                </c:pt>
                <c:pt idx="10">
                  <c:v>0.27654110000000004</c:v>
                </c:pt>
              </c:numCache>
            </c:numRef>
          </c:val>
          <c:extLst>
            <c:ext xmlns:c16="http://schemas.microsoft.com/office/drawing/2014/chart" uri="{C3380CC4-5D6E-409C-BE32-E72D297353CC}">
              <c16:uniqueId val="{00000004-603C-4F5F-9B29-772D47931B97}"/>
            </c:ext>
          </c:extLst>
        </c:ser>
        <c:dLbls>
          <c:showLegendKey val="0"/>
          <c:showVal val="0"/>
          <c:showCatName val="0"/>
          <c:showSerName val="0"/>
          <c:showPercent val="0"/>
          <c:showBubbleSize val="0"/>
        </c:dLbls>
        <c:gapWidth val="150"/>
        <c:overlap val="100"/>
        <c:axId val="701944016"/>
        <c:axId val="701946640"/>
      </c:barChart>
      <c:catAx>
        <c:axId val="701944016"/>
        <c:scaling>
          <c:orientation val="minMax"/>
        </c:scaling>
        <c:delete val="0"/>
        <c:axPos val="l"/>
        <c:numFmt formatCode="General" sourceLinked="1"/>
        <c:majorTickMark val="none"/>
        <c:minorTickMark val="none"/>
        <c:tickLblPos val="low"/>
        <c:spPr>
          <a:noFill/>
          <a:ln w="19050" cap="flat" cmpd="sng" algn="ctr">
            <a:solidFill>
              <a:schemeClr val="dk1"/>
            </a:solidFill>
            <a:prstDash val="solid"/>
            <a:miter lim="800000"/>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01946640"/>
        <c:crosses val="autoZero"/>
        <c:auto val="1"/>
        <c:lblAlgn val="ctr"/>
        <c:lblOffset val="100"/>
        <c:noMultiLvlLbl val="0"/>
      </c:catAx>
      <c:valAx>
        <c:axId val="701946640"/>
        <c:scaling>
          <c:orientation val="minMax"/>
        </c:scaling>
        <c:delete val="0"/>
        <c:axPos val="b"/>
        <c:majorGridlines>
          <c:spPr>
            <a:ln w="9525" cap="flat" cmpd="sng" algn="ctr">
              <a:solidFill>
                <a:srgbClr val="5E838C"/>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Carbon Beta</a:t>
                </a:r>
              </a:p>
            </c:rich>
          </c:tx>
          <c:layout>
            <c:manualLayout>
              <c:xMode val="edge"/>
              <c:yMode val="edge"/>
              <c:x val="0.46484960366623829"/>
              <c:y val="0.9664403035248718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01944016"/>
        <c:crosses val="autoZero"/>
        <c:crossBetween val="between"/>
      </c:valAx>
      <c:spPr>
        <a:noFill/>
        <a:ln>
          <a:noFill/>
        </a:ln>
        <a:effectLst/>
      </c:spPr>
    </c:plotArea>
    <c:plotVisOnly val="1"/>
    <c:dispBlanksAs val="gap"/>
    <c:showDLblsOverMax val="0"/>
  </c:chart>
  <c:spPr>
    <a:solidFill>
      <a:srgbClr val="EBF0F2"/>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60470023325044E-2"/>
          <c:y val="8.6406652204902054E-2"/>
          <c:w val="0.81223828852368607"/>
          <c:h val="0.64708806307086675"/>
        </c:manualLayout>
      </c:layout>
      <c:barChart>
        <c:barDir val="col"/>
        <c:grouping val="clustered"/>
        <c:varyColors val="0"/>
        <c:ser>
          <c:idx val="0"/>
          <c:order val="0"/>
          <c:tx>
            <c:strRef>
              <c:f>'AC3'!$BA$1</c:f>
              <c:strCache>
                <c:ptCount val="1"/>
                <c:pt idx="0">
                  <c:v>US GI World Precious Minerals</c:v>
                </c:pt>
              </c:strCache>
            </c:strRef>
          </c:tx>
          <c:spPr>
            <a:solidFill>
              <a:srgbClr val="00B0F0"/>
            </a:solidFill>
            <a:ln>
              <a:noFill/>
            </a:ln>
            <a:effectLst/>
          </c:spPr>
          <c:invertIfNegative val="0"/>
          <c:cat>
            <c:numRef>
              <c:f>'AC3'!$AZ$2:$AZ$109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'AC3'!$BA$2:$BA$109</c:f>
              <c:numCache>
                <c:formatCode>0.00%</c:formatCode>
                <c:ptCount val="108"/>
                <c:pt idx="0">
                  <c:v>-1.917336E-2</c:v>
                </c:pt>
                <c:pt idx="1">
                  <c:v>1.4222220000000001E-2</c:v>
                </c:pt>
                <c:pt idx="2">
                  <c:v>9.8199599999999991E-3</c:v>
                </c:pt>
                <c:pt idx="3">
                  <c:v>1.9641020000000002E-2</c:v>
                </c:pt>
                <c:pt idx="4">
                  <c:v>-1.5760740000000002E-2</c:v>
                </c:pt>
                <c:pt idx="5">
                  <c:v>9.166E-5</c:v>
                </c:pt>
                <c:pt idx="6">
                  <c:v>-4.8190999999999998E-3</c:v>
                </c:pt>
                <c:pt idx="7">
                  <c:v>1.7132660000000001E-2</c:v>
                </c:pt>
                <c:pt idx="8">
                  <c:v>2.7889420000000005E-2</c:v>
                </c:pt>
                <c:pt idx="9">
                  <c:v>9.5918200000000009E-3</c:v>
                </c:pt>
                <c:pt idx="10">
                  <c:v>1.4530260000000001E-2</c:v>
                </c:pt>
                <c:pt idx="11">
                  <c:v>8.1550199999999989E-3</c:v>
                </c:pt>
                <c:pt idx="12">
                  <c:v>-2.0217479999999999E-2</c:v>
                </c:pt>
                <c:pt idx="13">
                  <c:v>1.7653480000000003E-2</c:v>
                </c:pt>
                <c:pt idx="14">
                  <c:v>-2.7723000000000001E-3</c:v>
                </c:pt>
                <c:pt idx="15">
                  <c:v>4.2790600000000003E-3</c:v>
                </c:pt>
                <c:pt idx="16">
                  <c:v>-1.6029140000000004E-2</c:v>
                </c:pt>
                <c:pt idx="17">
                  <c:v>-1.9108920000000001E-2</c:v>
                </c:pt>
                <c:pt idx="18">
                  <c:v>8.42912E-3</c:v>
                </c:pt>
                <c:pt idx="19">
                  <c:v>-2.22588E-3</c:v>
                </c:pt>
                <c:pt idx="20">
                  <c:v>-3.3138599999999997E-2</c:v>
                </c:pt>
                <c:pt idx="21">
                  <c:v>1.9478040000000002E-2</c:v>
                </c:pt>
                <c:pt idx="22">
                  <c:v>-4.0603200000000001E-3</c:v>
                </c:pt>
                <c:pt idx="23">
                  <c:v>-2.2118400000000003E-2</c:v>
                </c:pt>
                <c:pt idx="24">
                  <c:v>2.4430960000000002E-2</c:v>
                </c:pt>
                <c:pt idx="25">
                  <c:v>-1.21704E-3</c:v>
                </c:pt>
                <c:pt idx="26">
                  <c:v>-1.9591840000000003E-2</c:v>
                </c:pt>
                <c:pt idx="27">
                  <c:v>-1.161388E-2</c:v>
                </c:pt>
                <c:pt idx="28">
                  <c:v>-2.5800619999999996E-2</c:v>
                </c:pt>
                <c:pt idx="29">
                  <c:v>-1.8382400000000001E-3</c:v>
                </c:pt>
                <c:pt idx="30">
                  <c:v>0</c:v>
                </c:pt>
                <c:pt idx="31">
                  <c:v>1.7790759999999999E-2</c:v>
                </c:pt>
                <c:pt idx="32">
                  <c:v>2.7577960000000002E-2</c:v>
                </c:pt>
                <c:pt idx="33">
                  <c:v>-4.6607200000000001E-3</c:v>
                </c:pt>
                <c:pt idx="34">
                  <c:v>-1.7338000000000003E-2</c:v>
                </c:pt>
                <c:pt idx="35">
                  <c:v>-3.7112799999999995E-3</c:v>
                </c:pt>
                <c:pt idx="36">
                  <c:v>-1.1794880000000001E-2</c:v>
                </c:pt>
                <c:pt idx="37">
                  <c:v>-2.7247960000000002E-2</c:v>
                </c:pt>
                <c:pt idx="38">
                  <c:v>-2.1029999999999999E-4</c:v>
                </c:pt>
                <c:pt idx="39">
                  <c:v>-3.4947360000000004E-2</c:v>
                </c:pt>
                <c:pt idx="40">
                  <c:v>-1.35204E-2</c:v>
                </c:pt>
                <c:pt idx="41">
                  <c:v>-3.6114920000000002E-2</c:v>
                </c:pt>
                <c:pt idx="42">
                  <c:v>2.437396E-2</c:v>
                </c:pt>
                <c:pt idx="43">
                  <c:v>1.7559519999999999E-2</c:v>
                </c:pt>
                <c:pt idx="44">
                  <c:v>-1.7783860000000002E-2</c:v>
                </c:pt>
                <c:pt idx="45">
                  <c:v>-7.2072000000000004E-3</c:v>
                </c:pt>
                <c:pt idx="46">
                  <c:v>-1.713396E-2</c:v>
                </c:pt>
                <c:pt idx="47">
                  <c:v>-6.1328800000000003E-3</c:v>
                </c:pt>
                <c:pt idx="48">
                  <c:v>1.792618E-2</c:v>
                </c:pt>
                <c:pt idx="49">
                  <c:v>3.0645160000000001E-2</c:v>
                </c:pt>
                <c:pt idx="50">
                  <c:v>-1.7902100000000001E-2</c:v>
                </c:pt>
                <c:pt idx="51">
                  <c:v>1.2288799999999999E-3</c:v>
                </c:pt>
                <c:pt idx="52">
                  <c:v>-9.7710000000000019E-3</c:v>
                </c:pt>
                <c:pt idx="53">
                  <c:v>3.6918140000000002E-2</c:v>
                </c:pt>
                <c:pt idx="54">
                  <c:v>-8.40108E-3</c:v>
                </c:pt>
                <c:pt idx="55">
                  <c:v>-2.2630800000000002E-3</c:v>
                </c:pt>
                <c:pt idx="56">
                  <c:v>-3.4907020000000004E-2</c:v>
                </c:pt>
                <c:pt idx="57">
                  <c:v>-3.5701900000000002E-2</c:v>
                </c:pt>
                <c:pt idx="58">
                  <c:v>8.4387999999999998E-4</c:v>
                </c:pt>
                <c:pt idx="59">
                  <c:v>-4.2015999999999999E-4</c:v>
                </c:pt>
                <c:pt idx="60">
                  <c:v>1.431578E-2</c:v>
                </c:pt>
                <c:pt idx="61">
                  <c:v>-6.2868399999999993E-3</c:v>
                </c:pt>
                <c:pt idx="62">
                  <c:v>-2.028398E-2</c:v>
                </c:pt>
                <c:pt idx="63">
                  <c:v>1.9413100000000003E-2</c:v>
                </c:pt>
                <c:pt idx="64">
                  <c:v>-4.1152200000000002E-3</c:v>
                </c:pt>
                <c:pt idx="65">
                  <c:v>-9.2437000000000005E-3</c:v>
                </c:pt>
                <c:pt idx="66">
                  <c:v>-2.5110140000000003E-2</c:v>
                </c:pt>
                <c:pt idx="67">
                  <c:v>3.0226799999999998E-3</c:v>
                </c:pt>
                <c:pt idx="68">
                  <c:v>-5.9553399999999999E-3</c:v>
                </c:pt>
                <c:pt idx="69">
                  <c:v>1.12532E-2</c:v>
                </c:pt>
                <c:pt idx="70">
                  <c:v>-1.50121E-2</c:v>
                </c:pt>
                <c:pt idx="71">
                  <c:v>9.7745600000000016E-3</c:v>
                </c:pt>
                <c:pt idx="72">
                  <c:v>2.7272600000000004E-3</c:v>
                </c:pt>
                <c:pt idx="73">
                  <c:v>5.0908500000000016E-2</c:v>
                </c:pt>
                <c:pt idx="74">
                  <c:v>1.9830420000000001E-2</c:v>
                </c:pt>
                <c:pt idx="75">
                  <c:v>6.32413E-2</c:v>
                </c:pt>
                <c:pt idx="76">
                  <c:v>-2.1095599999999999E-3</c:v>
                </c:pt>
                <c:pt idx="77">
                  <c:v>3.3444160000000001E-2</c:v>
                </c:pt>
                <c:pt idx="78">
                  <c:v>2.8642180000000003E-2</c:v>
                </c:pt>
                <c:pt idx="79">
                  <c:v>-1.179142E-2</c:v>
                </c:pt>
                <c:pt idx="80">
                  <c:v>1.484596E-2</c:v>
                </c:pt>
                <c:pt idx="81">
                  <c:v>-2.3280220000000004E-2</c:v>
                </c:pt>
                <c:pt idx="82">
                  <c:v>-3.5923919999999998E-2</c:v>
                </c:pt>
                <c:pt idx="83">
                  <c:v>-3.6694600000000003E-3</c:v>
                </c:pt>
                <c:pt idx="84">
                  <c:v>2.8896379999999999E-2</c:v>
                </c:pt>
                <c:pt idx="85">
                  <c:v>-6.1322600000000005E-3</c:v>
                </c:pt>
                <c:pt idx="86">
                  <c:v>-9.9890800000000026E-3</c:v>
                </c:pt>
                <c:pt idx="87">
                  <c:v>-1.4129860000000001E-2</c:v>
                </c:pt>
                <c:pt idx="88">
                  <c:v>-4.6143800000000004E-3</c:v>
                </c:pt>
                <c:pt idx="89">
                  <c:v>4.8061000000000006E-3</c:v>
                </c:pt>
                <c:pt idx="90">
                  <c:v>8.5138399999999999E-3</c:v>
                </c:pt>
                <c:pt idx="91">
                  <c:v>5.34996E-3</c:v>
                </c:pt>
                <c:pt idx="92">
                  <c:v>-6.7569800000000001E-3</c:v>
                </c:pt>
                <c:pt idx="93">
                  <c:v>-2.058186E-2</c:v>
                </c:pt>
                <c:pt idx="94">
                  <c:v>-5.6677400000000001E-3</c:v>
                </c:pt>
                <c:pt idx="95">
                  <c:v>1.5237780000000001E-2</c:v>
                </c:pt>
                <c:pt idx="96">
                  <c:v>2.7650800000000001E-3</c:v>
                </c:pt>
                <c:pt idx="97">
                  <c:v>-2.6690579999999998E-2</c:v>
                </c:pt>
                <c:pt idx="98">
                  <c:v>7.9924400000000017E-3</c:v>
                </c:pt>
                <c:pt idx="99">
                  <c:v>-4.4660400000000001E-3</c:v>
                </c:pt>
                <c:pt idx="100">
                  <c:v>-7.8809599999999994E-3</c:v>
                </c:pt>
                <c:pt idx="101">
                  <c:v>-1.262568E-2</c:v>
                </c:pt>
                <c:pt idx="102">
                  <c:v>1.7852599999999997E-3</c:v>
                </c:pt>
                <c:pt idx="103">
                  <c:v>-1.6465840000000002E-2</c:v>
                </c:pt>
                <c:pt idx="104">
                  <c:v>-3.1328600000000008E-3</c:v>
                </c:pt>
                <c:pt idx="105">
                  <c:v>-1.2448960000000002E-2</c:v>
                </c:pt>
                <c:pt idx="106">
                  <c:v>-1.259242E-2</c:v>
                </c:pt>
                <c:pt idx="107">
                  <c:v>8.4032399999999993E-3</c:v>
                </c:pt>
              </c:numCache>
            </c:numRef>
          </c:val>
          <c:extLst>
            <c:ext xmlns:c16="http://schemas.microsoft.com/office/drawing/2014/chart" uri="{C3380CC4-5D6E-409C-BE32-E72D297353CC}">
              <c16:uniqueId val="{00000002-BC23-475A-ADF5-53B4320B8526}"/>
            </c:ext>
          </c:extLst>
        </c:ser>
        <c:ser>
          <c:idx val="1"/>
          <c:order val="1"/>
          <c:tx>
            <c:strRef>
              <c:f>'AC3'!$BB$1</c:f>
              <c:strCache>
                <c:ptCount val="1"/>
                <c:pt idx="0">
                  <c:v>Vestas</c:v>
                </c:pt>
              </c:strCache>
            </c:strRef>
          </c:tx>
          <c:spPr>
            <a:solidFill>
              <a:srgbClr val="8CA83E"/>
            </a:solidFill>
            <a:ln>
              <a:noFill/>
            </a:ln>
            <a:effectLst/>
          </c:spPr>
          <c:invertIfNegative val="0"/>
          <c:cat>
            <c:numRef>
              <c:f>'AC3'!$AZ$2:$AZ$109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'AC3'!$BB$2:$BB$109</c:f>
              <c:numCache>
                <c:formatCode>0.00%</c:formatCode>
                <c:ptCount val="108"/>
                <c:pt idx="0">
                  <c:v>-9.612351655960083E-2</c:v>
                </c:pt>
                <c:pt idx="1">
                  <c:v>-6.5840965509414678E-2</c:v>
                </c:pt>
                <c:pt idx="2">
                  <c:v>7.945751087188721E-2</c:v>
                </c:pt>
                <c:pt idx="3">
                  <c:v>9.8293442888259891E-2</c:v>
                </c:pt>
                <c:pt idx="4">
                  <c:v>-0.17508436305999756</c:v>
                </c:pt>
                <c:pt idx="5">
                  <c:v>-9.7073958950042727E-2</c:v>
                </c:pt>
                <c:pt idx="6">
                  <c:v>0.12607655660629274</c:v>
                </c:pt>
                <c:pt idx="7">
                  <c:v>-0.18418214185714721</c:v>
                </c:pt>
                <c:pt idx="8">
                  <c:v>6.5361379218101508E-3</c:v>
                </c:pt>
                <c:pt idx="9">
                  <c:v>-0.12445274456024169</c:v>
                </c:pt>
                <c:pt idx="10">
                  <c:v>-8.3875297145843519E-2</c:v>
                </c:pt>
                <c:pt idx="11">
                  <c:v>8.8497938079833985E-2</c:v>
                </c:pt>
                <c:pt idx="12">
                  <c:v>7.0940251512527461E-2</c:v>
                </c:pt>
                <c:pt idx="13">
                  <c:v>-1.1901209558546543E-3</c:v>
                </c:pt>
                <c:pt idx="14">
                  <c:v>0.20770379440307618</c:v>
                </c:pt>
                <c:pt idx="15">
                  <c:v>-0.1448184609413147</c:v>
                </c:pt>
                <c:pt idx="16">
                  <c:v>-0.12257987260818481</c:v>
                </c:pt>
                <c:pt idx="17">
                  <c:v>-0.18305078744888306</c:v>
                </c:pt>
                <c:pt idx="18">
                  <c:v>-3.8774612545967105E-2</c:v>
                </c:pt>
                <c:pt idx="19">
                  <c:v>-3.7596927719116213E-2</c:v>
                </c:pt>
                <c:pt idx="20">
                  <c:v>-0.1783264994621277</c:v>
                </c:pt>
                <c:pt idx="21">
                  <c:v>-2.7362686395645142E-2</c:v>
                </c:pt>
                <c:pt idx="22">
                  <c:v>-0.1186191201210022</c:v>
                </c:pt>
                <c:pt idx="23">
                  <c:v>-0.15672658681869509</c:v>
                </c:pt>
                <c:pt idx="24">
                  <c:v>3.3826422691345219E-2</c:v>
                </c:pt>
                <c:pt idx="25">
                  <c:v>-6.7970848083496099E-2</c:v>
                </c:pt>
                <c:pt idx="26">
                  <c:v>-1.5216377377510071E-2</c:v>
                </c:pt>
                <c:pt idx="27">
                  <c:v>-0.10304172039031984</c:v>
                </c:pt>
                <c:pt idx="28">
                  <c:v>-0.2454493389892578</c:v>
                </c:pt>
                <c:pt idx="29">
                  <c:v>-7.6610875129699718E-2</c:v>
                </c:pt>
                <c:pt idx="30">
                  <c:v>-0.10713424682617188</c:v>
                </c:pt>
                <c:pt idx="31">
                  <c:v>0.36424323455810548</c:v>
                </c:pt>
                <c:pt idx="32">
                  <c:v>1.5978948636054993E-2</c:v>
                </c:pt>
                <c:pt idx="33">
                  <c:v>-0.14933531148910523</c:v>
                </c:pt>
                <c:pt idx="34">
                  <c:v>-0.1369789109992981</c:v>
                </c:pt>
                <c:pt idx="35">
                  <c:v>0.13821910755157471</c:v>
                </c:pt>
                <c:pt idx="36">
                  <c:v>5.7764220237731936E-2</c:v>
                </c:pt>
                <c:pt idx="37">
                  <c:v>0.14813497066497802</c:v>
                </c:pt>
                <c:pt idx="38">
                  <c:v>9.566497802734375E-2</c:v>
                </c:pt>
                <c:pt idx="39">
                  <c:v>6.651267409324646E-2</c:v>
                </c:pt>
                <c:pt idx="40">
                  <c:v>0.56082267761230475</c:v>
                </c:pt>
                <c:pt idx="41">
                  <c:v>-3.0988284945487977E-2</c:v>
                </c:pt>
                <c:pt idx="42">
                  <c:v>0.3410496711730957</c:v>
                </c:pt>
                <c:pt idx="43">
                  <c:v>-6.1971068382263184E-2</c:v>
                </c:pt>
                <c:pt idx="44">
                  <c:v>0.28203763961791994</c:v>
                </c:pt>
                <c:pt idx="45">
                  <c:v>5.192894339561463E-2</c:v>
                </c:pt>
                <c:pt idx="46">
                  <c:v>5.0029575824737549E-2</c:v>
                </c:pt>
                <c:pt idx="47">
                  <c:v>2.8639644384384155E-2</c:v>
                </c:pt>
                <c:pt idx="48">
                  <c:v>8.9308547973632815E-2</c:v>
                </c:pt>
                <c:pt idx="49">
                  <c:v>7.9574590921401983E-2</c:v>
                </c:pt>
                <c:pt idx="50">
                  <c:v>8.9421170949935916E-2</c:v>
                </c:pt>
                <c:pt idx="51">
                  <c:v>8.2667189836502078E-2</c:v>
                </c:pt>
                <c:pt idx="52">
                  <c:v>0.16542701721191408</c:v>
                </c:pt>
                <c:pt idx="53">
                  <c:v>-4.6125096082687382E-2</c:v>
                </c:pt>
                <c:pt idx="54">
                  <c:v>-8.3067917823791512E-2</c:v>
                </c:pt>
                <c:pt idx="55">
                  <c:v>-5.3506642580032349E-2</c:v>
                </c:pt>
                <c:pt idx="56">
                  <c:v>-5.8537268638610841E-2</c:v>
                </c:pt>
                <c:pt idx="57">
                  <c:v>-0.11531641483306886</c:v>
                </c:pt>
                <c:pt idx="58">
                  <c:v>8.2782936096191417E-2</c:v>
                </c:pt>
                <c:pt idx="59">
                  <c:v>-2.581310831010342E-3</c:v>
                </c:pt>
                <c:pt idx="60">
                  <c:v>5.1691704988479616E-2</c:v>
                </c:pt>
                <c:pt idx="61">
                  <c:v>6.2612515687942502E-2</c:v>
                </c:pt>
                <c:pt idx="62">
                  <c:v>-5.7283580303192144E-3</c:v>
                </c:pt>
                <c:pt idx="63">
                  <c:v>7.9669570922851568E-2</c:v>
                </c:pt>
                <c:pt idx="64">
                  <c:v>9.587743878364563E-2</c:v>
                </c:pt>
                <c:pt idx="65">
                  <c:v>-1.693771332502365E-2</c:v>
                </c:pt>
                <c:pt idx="66">
                  <c:v>8.0720549821853643E-2</c:v>
                </c:pt>
                <c:pt idx="67">
                  <c:v>-2.2568519413471225E-2</c:v>
                </c:pt>
                <c:pt idx="68">
                  <c:v>-2.2618804872035981E-2</c:v>
                </c:pt>
                <c:pt idx="69">
                  <c:v>0.10322315692901612</c:v>
                </c:pt>
                <c:pt idx="70">
                  <c:v>7.758017182350159E-2</c:v>
                </c:pt>
                <c:pt idx="71">
                  <c:v>7.6980329914093024E-2</c:v>
                </c:pt>
                <c:pt idx="72">
                  <c:v>-6.242819293022156E-2</c:v>
                </c:pt>
                <c:pt idx="73">
                  <c:v>3.3549663152694705E-2</c:v>
                </c:pt>
                <c:pt idx="74">
                  <c:v>4.7133636202812197E-2</c:v>
                </c:pt>
                <c:pt idx="75">
                  <c:v>9.9477937948703778E-3</c:v>
                </c:pt>
                <c:pt idx="76">
                  <c:v>1.3004655522108079E-3</c:v>
                </c:pt>
                <c:pt idx="77">
                  <c:v>-4.6277314696311952E-2</c:v>
                </c:pt>
                <c:pt idx="78">
                  <c:v>2.6316675271987916E-2</c:v>
                </c:pt>
                <c:pt idx="79">
                  <c:v>0.14872368844985961</c:v>
                </c:pt>
                <c:pt idx="80">
                  <c:v>-5.1417442893981931E-3</c:v>
                </c:pt>
                <c:pt idx="81">
                  <c:v>-2.2069382939338685E-2</c:v>
                </c:pt>
                <c:pt idx="82">
                  <c:v>-0.14046765430450439</c:v>
                </c:pt>
                <c:pt idx="83">
                  <c:v>-1.1776753922700882E-2</c:v>
                </c:pt>
                <c:pt idx="84">
                  <c:v>5.9527610251673982E-2</c:v>
                </c:pt>
                <c:pt idx="85">
                  <c:v>5.0320887934121011E-2</c:v>
                </c:pt>
                <c:pt idx="86">
                  <c:v>7.6505908815408558E-2</c:v>
                </c:pt>
                <c:pt idx="87">
                  <c:v>5.8665351645312884E-2</c:v>
                </c:pt>
                <c:pt idx="88">
                  <c:v>2.6095107296137367E-2</c:v>
                </c:pt>
                <c:pt idx="89">
                  <c:v>2.8674551244772972E-2</c:v>
                </c:pt>
                <c:pt idx="90">
                  <c:v>4.4092256392444129E-2</c:v>
                </c:pt>
                <c:pt idx="91">
                  <c:v>-5.3215191821034569E-2</c:v>
                </c:pt>
                <c:pt idx="92">
                  <c:v>-1.1250021937545708E-2</c:v>
                </c:pt>
                <c:pt idx="93">
                  <c:v>-1.442035952465898E-2</c:v>
                </c:pt>
                <c:pt idx="94">
                  <c:v>-0.21919750705051239</c:v>
                </c:pt>
                <c:pt idx="95">
                  <c:v>6.2163706634907105E-2</c:v>
                </c:pt>
                <c:pt idx="96">
                  <c:v>-8.9441139804095383E-3</c:v>
                </c:pt>
                <c:pt idx="97">
                  <c:v>4.8256442141623432E-2</c:v>
                </c:pt>
                <c:pt idx="98">
                  <c:v>-2.0242009559646165E-2</c:v>
                </c:pt>
                <c:pt idx="99">
                  <c:v>-5.3002728914825638E-2</c:v>
                </c:pt>
                <c:pt idx="100">
                  <c:v>5.9822621745107985E-3</c:v>
                </c:pt>
                <c:pt idx="101">
                  <c:v>-4.480188512518421E-2</c:v>
                </c:pt>
                <c:pt idx="102">
                  <c:v>3.3178854227518824E-2</c:v>
                </c:pt>
                <c:pt idx="103">
                  <c:v>6.407488929544862E-2</c:v>
                </c:pt>
                <c:pt idx="104">
                  <c:v>-2.6162893928411049E-2</c:v>
                </c:pt>
                <c:pt idx="105">
                  <c:v>-5.9723584280471788E-2</c:v>
                </c:pt>
                <c:pt idx="106">
                  <c:v>0.15038324687800186</c:v>
                </c:pt>
                <c:pt idx="107">
                  <c:v>6.4117917581708031E-3</c:v>
                </c:pt>
              </c:numCache>
            </c:numRef>
          </c:val>
          <c:extLst>
            <c:ext xmlns:c16="http://schemas.microsoft.com/office/drawing/2014/chart" uri="{C3380CC4-5D6E-409C-BE32-E72D297353CC}">
              <c16:uniqueId val="{00000003-BC23-475A-ADF5-53B4320B8526}"/>
            </c:ext>
          </c:extLst>
        </c:ser>
        <c:ser>
          <c:idx val="2"/>
          <c:order val="2"/>
          <c:tx>
            <c:strRef>
              <c:f>'AC3'!$BC$1</c:f>
              <c:strCache>
                <c:ptCount val="1"/>
                <c:pt idx="0">
                  <c:v>Portfolio</c:v>
                </c:pt>
              </c:strCache>
            </c:strRef>
          </c:tx>
          <c:spPr>
            <a:solidFill>
              <a:srgbClr val="8B4513"/>
            </a:solidFill>
            <a:ln>
              <a:noFill/>
            </a:ln>
            <a:effectLst/>
          </c:spPr>
          <c:invertIfNegative val="0"/>
          <c:cat>
            <c:numRef>
              <c:f>'AC3'!$AZ$2:$AZ$109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'AC3'!$BC$2:$BC$109</c:f>
              <c:numCache>
                <c:formatCode>0.00%</c:formatCode>
                <c:ptCount val="108"/>
                <c:pt idx="0">
                  <c:v>-0.11529687655960083</c:v>
                </c:pt>
                <c:pt idx="1">
                  <c:v>-5.1618745509414678E-2</c:v>
                </c:pt>
                <c:pt idx="2">
                  <c:v>8.9277470871887213E-2</c:v>
                </c:pt>
                <c:pt idx="3">
                  <c:v>0.1179344628882599</c:v>
                </c:pt>
                <c:pt idx="4">
                  <c:v>-0.19084510305999755</c:v>
                </c:pt>
                <c:pt idx="5">
                  <c:v>-9.6982298950042733E-2</c:v>
                </c:pt>
                <c:pt idx="6">
                  <c:v>0.12125745660629275</c:v>
                </c:pt>
                <c:pt idx="7">
                  <c:v>-0.16704948185714721</c:v>
                </c:pt>
                <c:pt idx="8">
                  <c:v>3.4425557921810158E-2</c:v>
                </c:pt>
                <c:pt idx="9">
                  <c:v>-0.11486092456024169</c:v>
                </c:pt>
                <c:pt idx="10">
                  <c:v>-6.9345037145843516E-2</c:v>
                </c:pt>
                <c:pt idx="11">
                  <c:v>9.6652958079833984E-2</c:v>
                </c:pt>
                <c:pt idx="12">
                  <c:v>5.0722771512527465E-2</c:v>
                </c:pt>
                <c:pt idx="13">
                  <c:v>1.6463359044145347E-2</c:v>
                </c:pt>
                <c:pt idx="14">
                  <c:v>0.20493149440307618</c:v>
                </c:pt>
                <c:pt idx="15">
                  <c:v>-0.1405394009413147</c:v>
                </c:pt>
                <c:pt idx="16">
                  <c:v>-0.13860901260818481</c:v>
                </c:pt>
                <c:pt idx="17">
                  <c:v>-0.20215970744888306</c:v>
                </c:pt>
                <c:pt idx="18">
                  <c:v>-3.0345492545967107E-2</c:v>
                </c:pt>
                <c:pt idx="19">
                  <c:v>-3.9822807719116213E-2</c:v>
                </c:pt>
                <c:pt idx="20">
                  <c:v>-0.21146509946212769</c:v>
                </c:pt>
                <c:pt idx="21">
                  <c:v>-7.8846463956451403E-3</c:v>
                </c:pt>
                <c:pt idx="22">
                  <c:v>-0.12267944012100221</c:v>
                </c:pt>
                <c:pt idx="23">
                  <c:v>-0.1788449868186951</c:v>
                </c:pt>
                <c:pt idx="24">
                  <c:v>5.8257382691345221E-2</c:v>
                </c:pt>
                <c:pt idx="25">
                  <c:v>-6.9187888083496102E-2</c:v>
                </c:pt>
                <c:pt idx="26">
                  <c:v>-3.4808217377510074E-2</c:v>
                </c:pt>
                <c:pt idx="27">
                  <c:v>-0.11465560039031983</c:v>
                </c:pt>
                <c:pt idx="28">
                  <c:v>-0.2712499589892578</c:v>
                </c:pt>
                <c:pt idx="29">
                  <c:v>-7.8449115129699723E-2</c:v>
                </c:pt>
                <c:pt idx="30">
                  <c:v>-0.10713424682617188</c:v>
                </c:pt>
                <c:pt idx="31">
                  <c:v>0.38203399455810549</c:v>
                </c:pt>
                <c:pt idx="32">
                  <c:v>4.3556908636054992E-2</c:v>
                </c:pt>
                <c:pt idx="33">
                  <c:v>-0.15399603148910523</c:v>
                </c:pt>
                <c:pt idx="34">
                  <c:v>-0.15431691099929809</c:v>
                </c:pt>
                <c:pt idx="35">
                  <c:v>0.1345078275515747</c:v>
                </c:pt>
                <c:pt idx="36">
                  <c:v>4.5969340237731936E-2</c:v>
                </c:pt>
                <c:pt idx="37">
                  <c:v>0.12088701066497802</c:v>
                </c:pt>
                <c:pt idx="38">
                  <c:v>9.5454678027343753E-2</c:v>
                </c:pt>
                <c:pt idx="39">
                  <c:v>3.1565314093246456E-2</c:v>
                </c:pt>
                <c:pt idx="40">
                  <c:v>0.54730227761230477</c:v>
                </c:pt>
                <c:pt idx="41">
                  <c:v>-6.7103204945487979E-2</c:v>
                </c:pt>
                <c:pt idx="42">
                  <c:v>0.36542363117309573</c:v>
                </c:pt>
                <c:pt idx="43">
                  <c:v>-4.4411548382263188E-2</c:v>
                </c:pt>
                <c:pt idx="44">
                  <c:v>0.26425377961791996</c:v>
                </c:pt>
                <c:pt idx="45">
                  <c:v>4.4721743395614633E-2</c:v>
                </c:pt>
                <c:pt idx="46">
                  <c:v>3.2895615824737545E-2</c:v>
                </c:pt>
                <c:pt idx="47">
                  <c:v>2.2506764384384155E-2</c:v>
                </c:pt>
                <c:pt idx="48">
                  <c:v>0.10723472797363282</c:v>
                </c:pt>
                <c:pt idx="49">
                  <c:v>0.11021975092140199</c:v>
                </c:pt>
                <c:pt idx="50">
                  <c:v>7.1519070949935912E-2</c:v>
                </c:pt>
                <c:pt idx="51">
                  <c:v>8.389606983650208E-2</c:v>
                </c:pt>
                <c:pt idx="52">
                  <c:v>0.15565601721191408</c:v>
                </c:pt>
                <c:pt idx="53">
                  <c:v>-9.20695608268738E-3</c:v>
                </c:pt>
                <c:pt idx="54">
                  <c:v>-9.1468997823791517E-2</c:v>
                </c:pt>
                <c:pt idx="55">
                  <c:v>-5.5769722580032349E-2</c:v>
                </c:pt>
                <c:pt idx="56">
                  <c:v>-9.3444288638610845E-2</c:v>
                </c:pt>
                <c:pt idx="57">
                  <c:v>-0.15101831483306885</c:v>
                </c:pt>
                <c:pt idx="58">
                  <c:v>8.3626816096191423E-2</c:v>
                </c:pt>
                <c:pt idx="59">
                  <c:v>-3.0014708310103421E-3</c:v>
                </c:pt>
                <c:pt idx="60">
                  <c:v>6.6007484988479609E-2</c:v>
                </c:pt>
                <c:pt idx="61">
                  <c:v>5.63256756879425E-2</c:v>
                </c:pt>
                <c:pt idx="62">
                  <c:v>-2.6012338030319215E-2</c:v>
                </c:pt>
                <c:pt idx="63">
                  <c:v>9.9082670922851571E-2</c:v>
                </c:pt>
                <c:pt idx="64">
                  <c:v>9.1762218783645627E-2</c:v>
                </c:pt>
                <c:pt idx="65">
                  <c:v>-2.6181413325023651E-2</c:v>
                </c:pt>
                <c:pt idx="66">
                  <c:v>5.561040982185364E-2</c:v>
                </c:pt>
                <c:pt idx="67">
                  <c:v>-1.9545839413471225E-2</c:v>
                </c:pt>
                <c:pt idx="68">
                  <c:v>-2.8574144872035981E-2</c:v>
                </c:pt>
                <c:pt idx="69">
                  <c:v>0.11447635692901613</c:v>
                </c:pt>
                <c:pt idx="70">
                  <c:v>6.2568071823501589E-2</c:v>
                </c:pt>
                <c:pt idx="71">
                  <c:v>8.6754889914093025E-2</c:v>
                </c:pt>
                <c:pt idx="72">
                  <c:v>-5.9700932930221558E-2</c:v>
                </c:pt>
                <c:pt idx="73">
                  <c:v>8.4458163152694721E-2</c:v>
                </c:pt>
                <c:pt idx="74">
                  <c:v>6.6964056202812205E-2</c:v>
                </c:pt>
                <c:pt idx="75">
                  <c:v>7.3189093794870375E-2</c:v>
                </c:pt>
                <c:pt idx="76">
                  <c:v>-8.0909444778919201E-4</c:v>
                </c:pt>
                <c:pt idx="77">
                  <c:v>-1.2833154696311952E-2</c:v>
                </c:pt>
                <c:pt idx="78">
                  <c:v>5.4958855271987919E-2</c:v>
                </c:pt>
                <c:pt idx="79">
                  <c:v>0.13693226844985962</c:v>
                </c:pt>
                <c:pt idx="80">
                  <c:v>9.704215710601807E-3</c:v>
                </c:pt>
                <c:pt idx="81">
                  <c:v>-4.5349602939338693E-2</c:v>
                </c:pt>
                <c:pt idx="82">
                  <c:v>-0.17639157430450439</c:v>
                </c:pt>
                <c:pt idx="83">
                  <c:v>-1.5446213922700881E-2</c:v>
                </c:pt>
                <c:pt idx="84">
                  <c:v>8.8423990251673981E-2</c:v>
                </c:pt>
                <c:pt idx="85">
                  <c:v>4.4188627934121011E-2</c:v>
                </c:pt>
                <c:pt idx="86">
                  <c:v>6.651682881540856E-2</c:v>
                </c:pt>
                <c:pt idx="87">
                  <c:v>4.4535491645312883E-2</c:v>
                </c:pt>
                <c:pt idx="88">
                  <c:v>2.1480727296137366E-2</c:v>
                </c:pt>
                <c:pt idx="89">
                  <c:v>3.3480651244772973E-2</c:v>
                </c:pt>
                <c:pt idx="90">
                  <c:v>5.2606096392444131E-2</c:v>
                </c:pt>
                <c:pt idx="91">
                  <c:v>-4.7865231821034568E-2</c:v>
                </c:pt>
                <c:pt idx="92">
                  <c:v>-1.8007001937545709E-2</c:v>
                </c:pt>
                <c:pt idx="93">
                  <c:v>-3.5002219524658984E-2</c:v>
                </c:pt>
                <c:pt idx="94">
                  <c:v>-0.22486524705051239</c:v>
                </c:pt>
                <c:pt idx="95">
                  <c:v>7.7401486634907105E-2</c:v>
                </c:pt>
                <c:pt idx="96">
                  <c:v>-6.1790339804095387E-3</c:v>
                </c:pt>
                <c:pt idx="97">
                  <c:v>2.1565862141623433E-2</c:v>
                </c:pt>
                <c:pt idx="98">
                  <c:v>-1.2249569559646163E-2</c:v>
                </c:pt>
                <c:pt idx="99">
                  <c:v>-5.7468768914825635E-2</c:v>
                </c:pt>
                <c:pt idx="100">
                  <c:v>-1.8986978254892008E-3</c:v>
                </c:pt>
                <c:pt idx="101">
                  <c:v>-5.742756512518421E-2</c:v>
                </c:pt>
                <c:pt idx="102">
                  <c:v>3.4964114227518821E-2</c:v>
                </c:pt>
                <c:pt idx="103">
                  <c:v>4.7609049295448617E-2</c:v>
                </c:pt>
                <c:pt idx="104">
                  <c:v>-2.929575392841105E-2</c:v>
                </c:pt>
                <c:pt idx="105">
                  <c:v>-7.217254428047179E-2</c:v>
                </c:pt>
                <c:pt idx="106">
                  <c:v>0.13779082687800187</c:v>
                </c:pt>
                <c:pt idx="107">
                  <c:v>1.4815031758170803E-2</c:v>
                </c:pt>
              </c:numCache>
            </c:numRef>
          </c:val>
          <c:extLst>
            <c:ext xmlns:c16="http://schemas.microsoft.com/office/drawing/2014/chart" uri="{C3380CC4-5D6E-409C-BE32-E72D297353CC}">
              <c16:uniqueId val="{00000004-BC23-475A-ADF5-53B4320B8526}"/>
            </c:ext>
          </c:extLst>
        </c:ser>
        <c:dLbls>
          <c:showLegendKey val="0"/>
          <c:showVal val="0"/>
          <c:showCatName val="0"/>
          <c:showSerName val="0"/>
          <c:showPercent val="0"/>
          <c:showBubbleSize val="0"/>
        </c:dLbls>
        <c:gapWidth val="150"/>
        <c:axId val="751882712"/>
        <c:axId val="751885336"/>
      </c:barChart>
      <c:lineChart>
        <c:grouping val="standard"/>
        <c:varyColors val="0"/>
        <c:ser>
          <c:idx val="3"/>
          <c:order val="3"/>
          <c:tx>
            <c:strRef>
              <c:f>'AC3'!$BD$1</c:f>
              <c:strCache>
                <c:ptCount val="1"/>
                <c:pt idx="0">
                  <c:v>US GI World Precious Minerals Beta</c:v>
                </c:pt>
              </c:strCache>
            </c:strRef>
          </c:tx>
          <c:spPr>
            <a:ln w="28575" cap="rnd">
              <a:solidFill>
                <a:srgbClr val="00B0F0"/>
              </a:solidFill>
              <a:round/>
            </a:ln>
            <a:effectLst/>
          </c:spPr>
          <c:marker>
            <c:symbol val="none"/>
          </c:marker>
          <c:cat>
            <c:numRef>
              <c:f>'AC3'!$AZ$2:$AZ$109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'AC3'!$BD$2:$BD$109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1.9959824580797427</c:v>
                </c:pt>
                <c:pt idx="61">
                  <c:v>1.9143994878536796</c:v>
                </c:pt>
                <c:pt idx="62">
                  <c:v>1.9534648034348372</c:v>
                </c:pt>
                <c:pt idx="63">
                  <c:v>1.9434569490730895</c:v>
                </c:pt>
                <c:pt idx="64">
                  <c:v>1.9298235290199084</c:v>
                </c:pt>
                <c:pt idx="65">
                  <c:v>1.9619373887969063</c:v>
                </c:pt>
                <c:pt idx="66">
                  <c:v>1.9895671518570586</c:v>
                </c:pt>
                <c:pt idx="67">
                  <c:v>2.0278393058230395</c:v>
                </c:pt>
                <c:pt idx="68">
                  <c:v>1.9086185477700213</c:v>
                </c:pt>
                <c:pt idx="69">
                  <c:v>2.0546050710500348</c:v>
                </c:pt>
                <c:pt idx="70">
                  <c:v>2.1079580540535234</c:v>
                </c:pt>
                <c:pt idx="71">
                  <c:v>2.0049698699794929</c:v>
                </c:pt>
                <c:pt idx="72">
                  <c:v>2.1320323426905365</c:v>
                </c:pt>
                <c:pt idx="73">
                  <c:v>2.3290828476620629</c:v>
                </c:pt>
                <c:pt idx="74">
                  <c:v>2.2803786829994439</c:v>
                </c:pt>
                <c:pt idx="75">
                  <c:v>2.5454166872197321</c:v>
                </c:pt>
                <c:pt idx="76">
                  <c:v>2.5601842697488149</c:v>
                </c:pt>
                <c:pt idx="77">
                  <c:v>2.8733016449718249</c:v>
                </c:pt>
                <c:pt idx="78">
                  <c:v>2.8072939686755616</c:v>
                </c:pt>
                <c:pt idx="79">
                  <c:v>2.9820394144315001</c:v>
                </c:pt>
                <c:pt idx="80">
                  <c:v>2.9903786005905819</c:v>
                </c:pt>
                <c:pt idx="81">
                  <c:v>2.9449157754665012</c:v>
                </c:pt>
                <c:pt idx="82">
                  <c:v>3.0882661569353642</c:v>
                </c:pt>
                <c:pt idx="83">
                  <c:v>3.0655965585711109</c:v>
                </c:pt>
                <c:pt idx="84">
                  <c:v>3.0182307040113519</c:v>
                </c:pt>
                <c:pt idx="85">
                  <c:v>3.0346332844379802</c:v>
                </c:pt>
                <c:pt idx="86">
                  <c:v>3.052067869072419</c:v>
                </c:pt>
                <c:pt idx="87">
                  <c:v>3.1929778587063122</c:v>
                </c:pt>
                <c:pt idx="88">
                  <c:v>3.4006299886253166</c:v>
                </c:pt>
                <c:pt idx="89">
                  <c:v>3.4080816060303016</c:v>
                </c:pt>
                <c:pt idx="90">
                  <c:v>3.4198932379604705</c:v>
                </c:pt>
                <c:pt idx="91">
                  <c:v>3.5869301726063889</c:v>
                </c:pt>
                <c:pt idx="92">
                  <c:v>3.7896583398567767</c:v>
                </c:pt>
                <c:pt idx="93">
                  <c:v>3.7477699578481785</c:v>
                </c:pt>
                <c:pt idx="94">
                  <c:v>3.6465742284836415</c:v>
                </c:pt>
                <c:pt idx="95">
                  <c:v>3.7028574693831096</c:v>
                </c:pt>
                <c:pt idx="96">
                  <c:v>3.6790525219381385</c:v>
                </c:pt>
                <c:pt idx="97">
                  <c:v>3.672797231392853</c:v>
                </c:pt>
                <c:pt idx="98">
                  <c:v>3.660885436627157</c:v>
                </c:pt>
                <c:pt idx="99">
                  <c:v>3.6399274301883136</c:v>
                </c:pt>
                <c:pt idx="100">
                  <c:v>3.3252498802304808</c:v>
                </c:pt>
                <c:pt idx="101">
                  <c:v>3.3063107684513793</c:v>
                </c:pt>
                <c:pt idx="102">
                  <c:v>3.1319703226066178</c:v>
                </c:pt>
                <c:pt idx="103">
                  <c:v>3.1544653088191215</c:v>
                </c:pt>
                <c:pt idx="104">
                  <c:v>3.1331162451729995</c:v>
                </c:pt>
                <c:pt idx="105">
                  <c:v>2.9414240492701773</c:v>
                </c:pt>
                <c:pt idx="106">
                  <c:v>2.8907196771801451</c:v>
                </c:pt>
                <c:pt idx="107">
                  <c:v>2.9075683202493625</c:v>
                </c:pt>
              </c:numCache>
            </c:numRef>
          </c:val>
          <c:smooth val="0"/>
          <c:extLst>
            <c:ext xmlns:c16="http://schemas.microsoft.com/office/drawing/2014/chart" uri="{C3380CC4-5D6E-409C-BE32-E72D297353CC}">
              <c16:uniqueId val="{00000005-BC23-475A-ADF5-53B4320B8526}"/>
            </c:ext>
          </c:extLst>
        </c:ser>
        <c:ser>
          <c:idx val="4"/>
          <c:order val="4"/>
          <c:tx>
            <c:strRef>
              <c:f>'AC3'!$BE$1</c:f>
              <c:strCache>
                <c:ptCount val="1"/>
                <c:pt idx="0">
                  <c:v>Vestas Beta</c:v>
                </c:pt>
              </c:strCache>
            </c:strRef>
          </c:tx>
          <c:spPr>
            <a:ln w="28575" cap="rnd">
              <a:solidFill>
                <a:srgbClr val="8CA83E"/>
              </a:solidFill>
              <a:round/>
            </a:ln>
            <a:effectLst/>
          </c:spPr>
          <c:marker>
            <c:symbol val="none"/>
          </c:marker>
          <c:cat>
            <c:numRef>
              <c:f>'AC3'!$AZ$2:$AZ$109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'AC3'!$BE$2:$BE$109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-2.3172046980597458</c:v>
                </c:pt>
                <c:pt idx="61">
                  <c:v>-2.513661463851673</c:v>
                </c:pt>
                <c:pt idx="62">
                  <c:v>-2.3986668113678409</c:v>
                </c:pt>
                <c:pt idx="63">
                  <c:v>-2.32242721477615</c:v>
                </c:pt>
                <c:pt idx="64">
                  <c:v>-2.401914739177216</c:v>
                </c:pt>
                <c:pt idx="65">
                  <c:v>-2.339359715147205</c:v>
                </c:pt>
                <c:pt idx="66">
                  <c:v>-2.5508205662556032</c:v>
                </c:pt>
                <c:pt idx="67">
                  <c:v>-2.642429928610794</c:v>
                </c:pt>
                <c:pt idx="68">
                  <c:v>-2.5521181733758476</c:v>
                </c:pt>
                <c:pt idx="69">
                  <c:v>-2.8635141780267288</c:v>
                </c:pt>
                <c:pt idx="70">
                  <c:v>-2.8227429305477689</c:v>
                </c:pt>
                <c:pt idx="71">
                  <c:v>-2.8230920876685293</c:v>
                </c:pt>
                <c:pt idx="72">
                  <c:v>-2.6691032182660073</c:v>
                </c:pt>
                <c:pt idx="73">
                  <c:v>-2.5656747813120218</c:v>
                </c:pt>
                <c:pt idx="74">
                  <c:v>-2.5875505422331084</c:v>
                </c:pt>
                <c:pt idx="75">
                  <c:v>-2.6934911762780689</c:v>
                </c:pt>
                <c:pt idx="76">
                  <c:v>-2.8345991991390576</c:v>
                </c:pt>
                <c:pt idx="77">
                  <c:v>-2.6352760714881258</c:v>
                </c:pt>
                <c:pt idx="78">
                  <c:v>-2.528830658231394</c:v>
                </c:pt>
                <c:pt idx="79">
                  <c:v>-2.7001983458701506</c:v>
                </c:pt>
                <c:pt idx="80">
                  <c:v>-2.8627328697255447</c:v>
                </c:pt>
                <c:pt idx="81">
                  <c:v>-3.0695826482973461</c:v>
                </c:pt>
                <c:pt idx="82">
                  <c:v>-3.0762871059450307</c:v>
                </c:pt>
                <c:pt idx="83">
                  <c:v>-2.9148622502103843</c:v>
                </c:pt>
                <c:pt idx="84">
                  <c:v>-2.4969205079016832</c:v>
                </c:pt>
                <c:pt idx="85">
                  <c:v>-2.4729244287079681</c:v>
                </c:pt>
                <c:pt idx="86">
                  <c:v>-2.5155168562609345</c:v>
                </c:pt>
                <c:pt idx="87">
                  <c:v>-2.8255044022830504</c:v>
                </c:pt>
                <c:pt idx="88">
                  <c:v>-2.7275539519453047</c:v>
                </c:pt>
                <c:pt idx="89">
                  <c:v>-2.6817740315134193</c:v>
                </c:pt>
                <c:pt idx="90">
                  <c:v>-2.7061336654036152</c:v>
                </c:pt>
                <c:pt idx="91">
                  <c:v>-2.5653370769674222</c:v>
                </c:pt>
                <c:pt idx="92">
                  <c:v>-2.0770418243873783</c:v>
                </c:pt>
                <c:pt idx="93">
                  <c:v>-2.0908178344765926</c:v>
                </c:pt>
                <c:pt idx="94">
                  <c:v>-2.4233678657393574</c:v>
                </c:pt>
                <c:pt idx="95">
                  <c:v>-2.8029789613999725</c:v>
                </c:pt>
                <c:pt idx="96">
                  <c:v>-2.8466060241722118</c:v>
                </c:pt>
                <c:pt idx="97">
                  <c:v>-3.1102397187208792</c:v>
                </c:pt>
                <c:pt idx="98">
                  <c:v>-3.106091904025758</c:v>
                </c:pt>
                <c:pt idx="99">
                  <c:v>-3.1539752238668051</c:v>
                </c:pt>
                <c:pt idx="100">
                  <c:v>-3.2223393712814636</c:v>
                </c:pt>
                <c:pt idx="101">
                  <c:v>-2.1047845421627511</c:v>
                </c:pt>
                <c:pt idx="102">
                  <c:v>-2.1710211554570042</c:v>
                </c:pt>
                <c:pt idx="103">
                  <c:v>-2.0680325071032373</c:v>
                </c:pt>
                <c:pt idx="104">
                  <c:v>-2.0510406991522618</c:v>
                </c:pt>
                <c:pt idx="105">
                  <c:v>-1.6486890673103949</c:v>
                </c:pt>
                <c:pt idx="106">
                  <c:v>-1.5128431300450775</c:v>
                </c:pt>
                <c:pt idx="107">
                  <c:v>-1.3250020382789183</c:v>
                </c:pt>
              </c:numCache>
            </c:numRef>
          </c:val>
          <c:smooth val="0"/>
          <c:extLst>
            <c:ext xmlns:c16="http://schemas.microsoft.com/office/drawing/2014/chart" uri="{C3380CC4-5D6E-409C-BE32-E72D297353CC}">
              <c16:uniqueId val="{00000006-BC23-475A-ADF5-53B4320B8526}"/>
            </c:ext>
          </c:extLst>
        </c:ser>
        <c:ser>
          <c:idx val="5"/>
          <c:order val="5"/>
          <c:tx>
            <c:strRef>
              <c:f>'AC3'!$BF$1</c:f>
              <c:strCache>
                <c:ptCount val="1"/>
                <c:pt idx="0">
                  <c:v>Portfolio Carbon Beta</c:v>
                </c:pt>
              </c:strCache>
            </c:strRef>
          </c:tx>
          <c:spPr>
            <a:ln w="28575" cap="rnd">
              <a:solidFill>
                <a:srgbClr val="8B4513"/>
              </a:solidFill>
              <a:round/>
            </a:ln>
            <a:effectLst/>
          </c:spPr>
          <c:marker>
            <c:symbol val="none"/>
          </c:marker>
          <c:cat>
            <c:numRef>
              <c:f>'AC3'!$AZ$2:$AZ$109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'AC3'!$BF$2:$BF$109</c:f>
              <c:numCache>
                <c:formatCode>0.00</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-1.4545672668318479</c:v>
                </c:pt>
                <c:pt idx="61">
                  <c:v>-1.6280492735106029</c:v>
                </c:pt>
                <c:pt idx="62">
                  <c:v>-1.5282404884073062</c:v>
                </c:pt>
                <c:pt idx="63">
                  <c:v>-1.4692503820063019</c:v>
                </c:pt>
                <c:pt idx="64">
                  <c:v>-1.5355670855377908</c:v>
                </c:pt>
                <c:pt idx="65">
                  <c:v>-1.4791002943583824</c:v>
                </c:pt>
                <c:pt idx="66">
                  <c:v>-1.642743022633071</c:v>
                </c:pt>
                <c:pt idx="67">
                  <c:v>-1.7083760817240254</c:v>
                </c:pt>
                <c:pt idx="68">
                  <c:v>-1.6599708291466742</c:v>
                </c:pt>
                <c:pt idx="69">
                  <c:v>-1.8798903282113775</c:v>
                </c:pt>
                <c:pt idx="70">
                  <c:v>-1.8366027336275108</c:v>
                </c:pt>
                <c:pt idx="71">
                  <c:v>-1.8574796961389237</c:v>
                </c:pt>
                <c:pt idx="72">
                  <c:v>-1.7088761060746982</c:v>
                </c:pt>
                <c:pt idx="73">
                  <c:v>-1.5867232555172039</c:v>
                </c:pt>
                <c:pt idx="74">
                  <c:v>-1.6139646971865986</c:v>
                </c:pt>
                <c:pt idx="75">
                  <c:v>-1.6457096035785077</c:v>
                </c:pt>
                <c:pt idx="76">
                  <c:v>-1.7556425053614826</c:v>
                </c:pt>
                <c:pt idx="77">
                  <c:v>-1.5335605281961355</c:v>
                </c:pt>
                <c:pt idx="78">
                  <c:v>-1.4616057328500023</c:v>
                </c:pt>
                <c:pt idx="79">
                  <c:v>-1.563750793809819</c:v>
                </c:pt>
                <c:pt idx="80">
                  <c:v>-1.6921105756623198</c:v>
                </c:pt>
                <c:pt idx="81">
                  <c:v>-1.8666829635445767</c:v>
                </c:pt>
                <c:pt idx="82">
                  <c:v>-1.8433764533689516</c:v>
                </c:pt>
                <c:pt idx="83">
                  <c:v>-1.7187704884540858</c:v>
                </c:pt>
                <c:pt idx="84">
                  <c:v>-1.393890265519077</c:v>
                </c:pt>
                <c:pt idx="85">
                  <c:v>-1.371412886078778</c:v>
                </c:pt>
                <c:pt idx="86">
                  <c:v>-1.4019999111942634</c:v>
                </c:pt>
                <c:pt idx="87">
                  <c:v>-1.6218079500851792</c:v>
                </c:pt>
                <c:pt idx="88">
                  <c:v>-1.5019171638311815</c:v>
                </c:pt>
                <c:pt idx="89">
                  <c:v>-1.4638029040046743</c:v>
                </c:pt>
                <c:pt idx="90">
                  <c:v>-1.4809282847307987</c:v>
                </c:pt>
                <c:pt idx="91">
                  <c:v>-1.3348836270526607</c:v>
                </c:pt>
                <c:pt idx="92">
                  <c:v>-0.90370179153854679</c:v>
                </c:pt>
                <c:pt idx="93">
                  <c:v>-0.92310027601163913</c:v>
                </c:pt>
                <c:pt idx="94">
                  <c:v>-1.2093794468947576</c:v>
                </c:pt>
                <c:pt idx="95">
                  <c:v>-1.5018116752433555</c:v>
                </c:pt>
                <c:pt idx="96">
                  <c:v>-1.541474314950142</c:v>
                </c:pt>
                <c:pt idx="97">
                  <c:v>-1.7536323286981328</c:v>
                </c:pt>
                <c:pt idx="98">
                  <c:v>-1.752696435895174</c:v>
                </c:pt>
                <c:pt idx="99">
                  <c:v>-1.7951946930557834</c:v>
                </c:pt>
                <c:pt idx="100">
                  <c:v>-1.9128215209790749</c:v>
                </c:pt>
                <c:pt idx="101">
                  <c:v>-1.0225654800399258</c:v>
                </c:pt>
                <c:pt idx="102">
                  <c:v>-1.1104228598442802</c:v>
                </c:pt>
                <c:pt idx="103">
                  <c:v>-1.0235329439187668</c:v>
                </c:pt>
                <c:pt idx="104">
                  <c:v>-1.0142093102872101</c:v>
                </c:pt>
                <c:pt idx="105">
                  <c:v>-0.7306664439942796</c:v>
                </c:pt>
                <c:pt idx="106">
                  <c:v>-0.63213056860003336</c:v>
                </c:pt>
                <c:pt idx="107">
                  <c:v>-0.47848796657326115</c:v>
                </c:pt>
              </c:numCache>
            </c:numRef>
          </c:val>
          <c:smooth val="0"/>
          <c:extLst>
            <c:ext xmlns:c16="http://schemas.microsoft.com/office/drawing/2014/chart" uri="{C3380CC4-5D6E-409C-BE32-E72D297353CC}">
              <c16:uniqueId val="{00000007-BC23-475A-ADF5-53B4320B8526}"/>
            </c:ext>
          </c:extLst>
        </c:ser>
        <c:dLbls>
          <c:showLegendKey val="0"/>
          <c:showVal val="0"/>
          <c:showCatName val="0"/>
          <c:showSerName val="0"/>
          <c:showPercent val="0"/>
          <c:showBubbleSize val="0"/>
        </c:dLbls>
        <c:marker val="1"/>
        <c:smooth val="0"/>
        <c:axId val="709170320"/>
        <c:axId val="709178848"/>
      </c:lineChart>
      <c:dateAx>
        <c:axId val="751882712"/>
        <c:scaling>
          <c:orientation val="minMax"/>
        </c:scaling>
        <c:delete val="0"/>
        <c:axPos val="b"/>
        <c:numFmt formatCode="[$-409]mmm\-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1"/>
        <c:lblOffset val="100"/>
        <c:baseTimeUnit val="months"/>
        <c:majorUnit val="6"/>
        <c:majorTimeUnit val="months"/>
      </c:dateAx>
      <c:valAx>
        <c:axId val="751885336"/>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Return</a:t>
                </a:r>
              </a:p>
            </c:rich>
          </c:tx>
          <c:layout>
            <c:manualLayout>
              <c:xMode val="edge"/>
              <c:yMode val="edge"/>
              <c:x val="5.8888485911698556E-3"/>
              <c:y val="0.411002372467949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valAx>
        <c:axId val="709178848"/>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Carbon Beta</a:t>
                </a:r>
              </a:p>
            </c:rich>
          </c:tx>
          <c:layout>
            <c:manualLayout>
              <c:xMode val="edge"/>
              <c:yMode val="edge"/>
              <c:x val="0.9658520476326764"/>
              <c:y val="0.3879428673470203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09170320"/>
        <c:crosses val="max"/>
        <c:crossBetween val="between"/>
      </c:valAx>
      <c:dateAx>
        <c:axId val="709170320"/>
        <c:scaling>
          <c:orientation val="minMax"/>
        </c:scaling>
        <c:delete val="1"/>
        <c:axPos val="b"/>
        <c:numFmt formatCode="[$-409]mmm\-yy;@" sourceLinked="1"/>
        <c:majorTickMark val="out"/>
        <c:minorTickMark val="none"/>
        <c:tickLblPos val="nextTo"/>
        <c:crossAx val="709178848"/>
        <c:crosses val="autoZero"/>
        <c:auto val="0"/>
        <c:lblOffset val="100"/>
        <c:baseTimeUnit val="months"/>
      </c:dateAx>
      <c:spPr>
        <a:noFill/>
        <a:ln>
          <a:noFill/>
        </a:ln>
        <a:effectLst/>
      </c:spPr>
    </c:plotArea>
    <c:legend>
      <c:legendPos val="b"/>
      <c:legendEntry>
        <c:idx val="3"/>
        <c:delete val="1"/>
      </c:legendEntry>
      <c:legendEntry>
        <c:idx val="4"/>
        <c:delete val="1"/>
      </c:legendEntry>
      <c:legendEntry>
        <c:idx val="5"/>
        <c:delete val="1"/>
      </c:legendEntry>
      <c:layout>
        <c:manualLayout>
          <c:xMode val="edge"/>
          <c:yMode val="edge"/>
          <c:x val="4.2202217559016521E-2"/>
          <c:y val="0.88997399080635353"/>
          <c:w val="0.92736804782270665"/>
          <c:h val="9.5519344313977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'AC3'!$CT$1</c:f>
              <c:strCache>
                <c:ptCount val="1"/>
                <c:pt idx="0">
                  <c:v>Carbon Beta</c:v>
                </c:pt>
              </c:strCache>
            </c:strRef>
          </c:tx>
          <c:spPr>
            <a:solidFill>
              <a:srgbClr val="5E838C"/>
            </a:solidFill>
            <a:ln>
              <a:noFill/>
            </a:ln>
            <a:effectLst/>
          </c:spPr>
          <c:invertIfNegative val="0"/>
          <c:cat>
            <c:strRef>
              <c:f>'AC3'!$CS$2:$CS$5</c:f>
              <c:strCache>
                <c:ptCount val="4"/>
                <c:pt idx="0">
                  <c:v>Investment Universe</c:v>
                </c:pt>
                <c:pt idx="1">
                  <c:v>„Green" Portfolio</c:v>
                </c:pt>
                <c:pt idx="2">
                  <c:v>„Brown" Portfolio</c:v>
                </c:pt>
                <c:pt idx="3">
                  <c:v>Investor Portfolio</c:v>
                </c:pt>
              </c:strCache>
            </c:strRef>
          </c:cat>
          <c:val>
            <c:numRef>
              <c:f>'AC3'!$CT$2:$CT$5</c:f>
              <c:numCache>
                <c:formatCode>0.00</c:formatCode>
                <c:ptCount val="4"/>
                <c:pt idx="0">
                  <c:v>-0.02</c:v>
                </c:pt>
                <c:pt idx="1">
                  <c:v>-0.44</c:v>
                </c:pt>
                <c:pt idx="2">
                  <c:v>0.47</c:v>
                </c:pt>
                <c:pt idx="3">
                  <c:v>1.4999999999999986E-2</c:v>
                </c:pt>
              </c:numCache>
            </c:numRef>
          </c:val>
          <c:extLst>
            <c:ext xmlns:c16="http://schemas.microsoft.com/office/drawing/2014/chart" uri="{C3380CC4-5D6E-409C-BE32-E72D297353CC}">
              <c16:uniqueId val="{00000000-BA12-4261-9F07-6CD287EFE85A}"/>
            </c:ext>
          </c:extLst>
        </c:ser>
        <c:ser>
          <c:idx val="1"/>
          <c:order val="1"/>
          <c:tx>
            <c:strRef>
              <c:f>'AC3'!$CU$1</c:f>
              <c:strCache>
                <c:ptCount val="1"/>
                <c:pt idx="0">
                  <c:v>Beta MKT</c:v>
                </c:pt>
              </c:strCache>
            </c:strRef>
          </c:tx>
          <c:spPr>
            <a:solidFill>
              <a:schemeClr val="tx1">
                <a:lumMod val="65000"/>
                <a:lumOff val="35000"/>
              </a:schemeClr>
            </a:solidFill>
            <a:ln>
              <a:noFill/>
            </a:ln>
            <a:effectLst/>
          </c:spPr>
          <c:invertIfNegative val="0"/>
          <c:cat>
            <c:strRef>
              <c:f>'AC3'!$CS$2:$CS$5</c:f>
              <c:strCache>
                <c:ptCount val="4"/>
                <c:pt idx="0">
                  <c:v>Investment Universe</c:v>
                </c:pt>
                <c:pt idx="1">
                  <c:v>„Green" Portfolio</c:v>
                </c:pt>
                <c:pt idx="2">
                  <c:v>„Brown" Portfolio</c:v>
                </c:pt>
                <c:pt idx="3">
                  <c:v>Investor Portfolio</c:v>
                </c:pt>
              </c:strCache>
            </c:strRef>
          </c:cat>
          <c:val>
            <c:numRef>
              <c:f>'AC3'!$CU$2:$CU$5</c:f>
              <c:numCache>
                <c:formatCode>0.00</c:formatCode>
                <c:ptCount val="4"/>
                <c:pt idx="0">
                  <c:v>0.65</c:v>
                </c:pt>
                <c:pt idx="1">
                  <c:v>0.65</c:v>
                </c:pt>
                <c:pt idx="2">
                  <c:v>0.65</c:v>
                </c:pt>
                <c:pt idx="3">
                  <c:v>0.65</c:v>
                </c:pt>
              </c:numCache>
            </c:numRef>
          </c:val>
          <c:extLst>
            <c:ext xmlns:c16="http://schemas.microsoft.com/office/drawing/2014/chart" uri="{C3380CC4-5D6E-409C-BE32-E72D297353CC}">
              <c16:uniqueId val="{00000001-BA12-4261-9F07-6CD287EFE85A}"/>
            </c:ext>
          </c:extLst>
        </c:ser>
        <c:ser>
          <c:idx val="2"/>
          <c:order val="2"/>
          <c:tx>
            <c:strRef>
              <c:f>'AC3'!$CV$1</c:f>
              <c:strCache>
                <c:ptCount val="1"/>
                <c:pt idx="0">
                  <c:v>Beta SMB</c:v>
                </c:pt>
              </c:strCache>
            </c:strRef>
          </c:tx>
          <c:spPr>
            <a:solidFill>
              <a:schemeClr val="bg1">
                <a:lumMod val="65000"/>
              </a:schemeClr>
            </a:solidFill>
            <a:ln>
              <a:noFill/>
            </a:ln>
            <a:effectLst/>
          </c:spPr>
          <c:invertIfNegative val="0"/>
          <c:cat>
            <c:strRef>
              <c:f>'AC3'!$CS$2:$CS$5</c:f>
              <c:strCache>
                <c:ptCount val="4"/>
                <c:pt idx="0">
                  <c:v>Investment Universe</c:v>
                </c:pt>
                <c:pt idx="1">
                  <c:v>„Green" Portfolio</c:v>
                </c:pt>
                <c:pt idx="2">
                  <c:v>„Brown" Portfolio</c:v>
                </c:pt>
                <c:pt idx="3">
                  <c:v>Investor Portfolio</c:v>
                </c:pt>
              </c:strCache>
            </c:strRef>
          </c:cat>
          <c:val>
            <c:numRef>
              <c:f>'AC3'!$CV$2:$CV$5</c:f>
              <c:numCache>
                <c:formatCode>0.00</c:formatCode>
                <c:ptCount val="4"/>
                <c:pt idx="0">
                  <c:v>0.88</c:v>
                </c:pt>
                <c:pt idx="1">
                  <c:v>0.89</c:v>
                </c:pt>
                <c:pt idx="2">
                  <c:v>0.87</c:v>
                </c:pt>
                <c:pt idx="3">
                  <c:v>0.88</c:v>
                </c:pt>
              </c:numCache>
            </c:numRef>
          </c:val>
          <c:extLst>
            <c:ext xmlns:c16="http://schemas.microsoft.com/office/drawing/2014/chart" uri="{C3380CC4-5D6E-409C-BE32-E72D297353CC}">
              <c16:uniqueId val="{00000002-BA12-4261-9F07-6CD287EFE85A}"/>
            </c:ext>
          </c:extLst>
        </c:ser>
        <c:ser>
          <c:idx val="3"/>
          <c:order val="3"/>
          <c:tx>
            <c:strRef>
              <c:f>'AC3'!$CW$1</c:f>
              <c:strCache>
                <c:ptCount val="1"/>
                <c:pt idx="0">
                  <c:v>Beta HML</c:v>
                </c:pt>
              </c:strCache>
            </c:strRef>
          </c:tx>
          <c:spPr>
            <a:solidFill>
              <a:schemeClr val="bg1">
                <a:lumMod val="85000"/>
              </a:schemeClr>
            </a:solidFill>
            <a:ln>
              <a:noFill/>
            </a:ln>
            <a:effectLst/>
          </c:spPr>
          <c:invertIfNegative val="0"/>
          <c:cat>
            <c:strRef>
              <c:f>'AC3'!$CS$2:$CS$5</c:f>
              <c:strCache>
                <c:ptCount val="4"/>
                <c:pt idx="0">
                  <c:v>Investment Universe</c:v>
                </c:pt>
                <c:pt idx="1">
                  <c:v>„Green" Portfolio</c:v>
                </c:pt>
                <c:pt idx="2">
                  <c:v>„Brown" Portfolio</c:v>
                </c:pt>
                <c:pt idx="3">
                  <c:v>Investor Portfolio</c:v>
                </c:pt>
              </c:strCache>
            </c:strRef>
          </c:cat>
          <c:val>
            <c:numRef>
              <c:f>'AC3'!$CW$2:$CW$5</c:f>
              <c:numCache>
                <c:formatCode>0.00</c:formatCode>
                <c:ptCount val="4"/>
                <c:pt idx="0">
                  <c:v>0.21</c:v>
                </c:pt>
                <c:pt idx="1">
                  <c:v>0.22</c:v>
                </c:pt>
                <c:pt idx="2">
                  <c:v>0.2</c:v>
                </c:pt>
                <c:pt idx="3">
                  <c:v>0.21000000000000002</c:v>
                </c:pt>
              </c:numCache>
            </c:numRef>
          </c:val>
          <c:extLst>
            <c:ext xmlns:c16="http://schemas.microsoft.com/office/drawing/2014/chart" uri="{C3380CC4-5D6E-409C-BE32-E72D297353CC}">
              <c16:uniqueId val="{00000003-BA12-4261-9F07-6CD287EFE85A}"/>
            </c:ext>
          </c:extLst>
        </c:ser>
        <c:dLbls>
          <c:showLegendKey val="0"/>
          <c:showVal val="0"/>
          <c:showCatName val="0"/>
          <c:showSerName val="0"/>
          <c:showPercent val="0"/>
          <c:showBubbleSize val="0"/>
        </c:dLbls>
        <c:gapWidth val="219"/>
        <c:overlap val="-27"/>
        <c:axId val="738348184"/>
        <c:axId val="738357040"/>
      </c:barChart>
      <c:catAx>
        <c:axId val="738348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8357040"/>
        <c:crosses val="autoZero"/>
        <c:auto val="1"/>
        <c:lblAlgn val="ctr"/>
        <c:lblOffset val="100"/>
        <c:noMultiLvlLbl val="0"/>
      </c:catAx>
      <c:valAx>
        <c:axId val="738357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83481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dTable>
      <c:spPr>
        <a:noFill/>
        <a:ln>
          <a:noFill/>
        </a:ln>
        <a:effectLst/>
      </c:spPr>
    </c:plotArea>
    <c:plotVisOnly val="1"/>
    <c:dispBlanksAs val="gap"/>
    <c:showDLblsOverMax val="0"/>
  </c:chart>
  <c:spPr>
    <a:solidFill>
      <a:srgbClr val="EBF0F2"/>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'AC3'!$DC$1</c:f>
              <c:strCache>
                <c:ptCount val="1"/>
                <c:pt idx="0">
                  <c:v>Carbon Beta</c:v>
                </c:pt>
              </c:strCache>
            </c:strRef>
          </c:tx>
          <c:spPr>
            <a:solidFill>
              <a:srgbClr val="5E838C"/>
            </a:solidFill>
            <a:ln>
              <a:noFill/>
            </a:ln>
            <a:effectLst/>
          </c:spPr>
          <c:invertIfNegative val="0"/>
          <c:cat>
            <c:strRef>
              <c:f>'AC3'!$DB$2:$DB$4</c:f>
              <c:strCache>
                <c:ptCount val="3"/>
                <c:pt idx="0">
                  <c:v>Investment Universe</c:v>
                </c:pt>
                <c:pt idx="1">
                  <c:v>Best-in-class Portfolio</c:v>
                </c:pt>
                <c:pt idx="2">
                  <c:v>Worst-in-class Portfolio</c:v>
                </c:pt>
              </c:strCache>
            </c:strRef>
          </c:cat>
          <c:val>
            <c:numRef>
              <c:f>'AC3'!$DC$2:$DC$4</c:f>
              <c:numCache>
                <c:formatCode>0.00</c:formatCode>
                <c:ptCount val="3"/>
                <c:pt idx="0">
                  <c:v>0.01</c:v>
                </c:pt>
                <c:pt idx="1">
                  <c:v>-0.49957179764050846</c:v>
                </c:pt>
                <c:pt idx="2">
                  <c:v>0.51612665543499958</c:v>
                </c:pt>
              </c:numCache>
            </c:numRef>
          </c:val>
          <c:extLst>
            <c:ext xmlns:c16="http://schemas.microsoft.com/office/drawing/2014/chart" uri="{C3380CC4-5D6E-409C-BE32-E72D297353CC}">
              <c16:uniqueId val="{00000000-EE89-4147-B5D2-68785D5EDBB8}"/>
            </c:ext>
          </c:extLst>
        </c:ser>
        <c:ser>
          <c:idx val="1"/>
          <c:order val="1"/>
          <c:tx>
            <c:strRef>
              <c:f>'AC3'!$DD$1</c:f>
              <c:strCache>
                <c:ptCount val="1"/>
                <c:pt idx="0">
                  <c:v>Sharpe Ratio</c:v>
                </c:pt>
              </c:strCache>
            </c:strRef>
          </c:tx>
          <c:spPr>
            <a:solidFill>
              <a:schemeClr val="tx1">
                <a:lumMod val="65000"/>
                <a:lumOff val="35000"/>
              </a:schemeClr>
            </a:solidFill>
            <a:ln>
              <a:noFill/>
            </a:ln>
            <a:effectLst/>
          </c:spPr>
          <c:invertIfNegative val="0"/>
          <c:cat>
            <c:strRef>
              <c:f>'AC3'!$DB$2:$DB$4</c:f>
              <c:strCache>
                <c:ptCount val="3"/>
                <c:pt idx="0">
                  <c:v>Investment Universe</c:v>
                </c:pt>
                <c:pt idx="1">
                  <c:v>Best-in-class Portfolio</c:v>
                </c:pt>
                <c:pt idx="2">
                  <c:v>Worst-in-class Portfolio</c:v>
                </c:pt>
              </c:strCache>
            </c:strRef>
          </c:cat>
          <c:val>
            <c:numRef>
              <c:f>'AC3'!$DD$2:$DD$4</c:f>
              <c:numCache>
                <c:formatCode>0.00</c:formatCode>
                <c:ptCount val="3"/>
                <c:pt idx="0">
                  <c:v>0.41</c:v>
                </c:pt>
                <c:pt idx="1">
                  <c:v>0.4382279222766764</c:v>
                </c:pt>
                <c:pt idx="2">
                  <c:v>0.39176335406807067</c:v>
                </c:pt>
              </c:numCache>
            </c:numRef>
          </c:val>
          <c:extLst>
            <c:ext xmlns:c16="http://schemas.microsoft.com/office/drawing/2014/chart" uri="{C3380CC4-5D6E-409C-BE32-E72D297353CC}">
              <c16:uniqueId val="{00000001-EE89-4147-B5D2-68785D5EDBB8}"/>
            </c:ext>
          </c:extLst>
        </c:ser>
        <c:dLbls>
          <c:showLegendKey val="0"/>
          <c:showVal val="0"/>
          <c:showCatName val="0"/>
          <c:showSerName val="0"/>
          <c:showPercent val="0"/>
          <c:showBubbleSize val="0"/>
        </c:dLbls>
        <c:gapWidth val="219"/>
        <c:overlap val="-27"/>
        <c:axId val="738348184"/>
        <c:axId val="738357040"/>
      </c:barChart>
      <c:catAx>
        <c:axId val="738348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8357040"/>
        <c:crosses val="autoZero"/>
        <c:auto val="1"/>
        <c:lblAlgn val="ctr"/>
        <c:lblOffset val="100"/>
        <c:noMultiLvlLbl val="0"/>
      </c:catAx>
      <c:valAx>
        <c:axId val="738357040"/>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83481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dTable>
      <c:spPr>
        <a:noFill/>
        <a:ln>
          <a:noFill/>
        </a:ln>
        <a:effectLst/>
      </c:spPr>
    </c:plotArea>
    <c:plotVisOnly val="1"/>
    <c:dispBlanksAs val="gap"/>
    <c:showDLblsOverMax val="0"/>
  </c:chart>
  <c:spPr>
    <a:solidFill>
      <a:srgbClr val="EBF0F2"/>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44673307378336E-2"/>
          <c:y val="5.6168650793650785E-2"/>
          <c:w val="0.86227183475152414"/>
          <c:h val="0.5586368055555555"/>
        </c:manualLayout>
      </c:layout>
      <c:barChart>
        <c:barDir val="col"/>
        <c:grouping val="clustered"/>
        <c:varyColors val="0"/>
        <c:ser>
          <c:idx val="0"/>
          <c:order val="0"/>
          <c:tx>
            <c:strRef>
              <c:f>AC!$G$1</c:f>
              <c:strCache>
                <c:ptCount val="1"/>
                <c:pt idx="0">
                  <c:v>BMG</c:v>
                </c:pt>
              </c:strCache>
            </c:strRef>
          </c:tx>
          <c:spPr>
            <a:solidFill>
              <a:srgbClr val="5E838C"/>
            </a:solidFill>
            <a:ln>
              <a:noFill/>
            </a:ln>
            <a:effectLst/>
          </c:spPr>
          <c:invertIfNegative val="0"/>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AC!$G$2:$G$109</c:f>
              <c:numCache>
                <c:formatCode>0.00%</c:formatCode>
                <c:ptCount val="108"/>
                <c:pt idx="0">
                  <c:v>-1.3868200000000001E-2</c:v>
                </c:pt>
                <c:pt idx="1">
                  <c:v>1.1553300000000001E-2</c:v>
                </c:pt>
                <c:pt idx="2">
                  <c:v>8.2559999999999995E-3</c:v>
                </c:pt>
                <c:pt idx="3">
                  <c:v>5.1735000000000001E-3</c:v>
                </c:pt>
                <c:pt idx="4">
                  <c:v>3.0423999999999998E-3</c:v>
                </c:pt>
                <c:pt idx="5">
                  <c:v>-1.8381499999999999E-2</c:v>
                </c:pt>
                <c:pt idx="6">
                  <c:v>1.3803899999999999E-2</c:v>
                </c:pt>
                <c:pt idx="7">
                  <c:v>2.68925E-2</c:v>
                </c:pt>
                <c:pt idx="8">
                  <c:v>-2.5877600000000001E-2</c:v>
                </c:pt>
                <c:pt idx="9">
                  <c:v>7.1040000000000003E-4</c:v>
                </c:pt>
                <c:pt idx="10">
                  <c:v>2.7622500000000001E-2</c:v>
                </c:pt>
                <c:pt idx="11">
                  <c:v>1.7928800000000002E-2</c:v>
                </c:pt>
                <c:pt idx="12">
                  <c:v>-1.32926E-2</c:v>
                </c:pt>
                <c:pt idx="13">
                  <c:v>2.2718499999999999E-2</c:v>
                </c:pt>
                <c:pt idx="14">
                  <c:v>9.8689999999999997E-4</c:v>
                </c:pt>
                <c:pt idx="15">
                  <c:v>-2.128E-2</c:v>
                </c:pt>
                <c:pt idx="16">
                  <c:v>-1.05789E-2</c:v>
                </c:pt>
                <c:pt idx="17">
                  <c:v>-4.0318000000000003E-3</c:v>
                </c:pt>
                <c:pt idx="18">
                  <c:v>2.90342E-2</c:v>
                </c:pt>
                <c:pt idx="19">
                  <c:v>7.5288999999999998E-3</c:v>
                </c:pt>
                <c:pt idx="20">
                  <c:v>-2.9084499999999999E-2</c:v>
                </c:pt>
                <c:pt idx="21">
                  <c:v>3.7878700000000001E-2</c:v>
                </c:pt>
                <c:pt idx="22">
                  <c:v>6.2649000000000003E-3</c:v>
                </c:pt>
                <c:pt idx="23">
                  <c:v>9.3559999999999997E-4</c:v>
                </c:pt>
                <c:pt idx="24">
                  <c:v>1.39825E-2</c:v>
                </c:pt>
                <c:pt idx="25">
                  <c:v>-8.9946999999999996E-3</c:v>
                </c:pt>
                <c:pt idx="26">
                  <c:v>-4.70316E-2</c:v>
                </c:pt>
                <c:pt idx="27">
                  <c:v>1.32511E-2</c:v>
                </c:pt>
                <c:pt idx="28">
                  <c:v>-6.9093999999999996E-3</c:v>
                </c:pt>
                <c:pt idx="29">
                  <c:v>-4.0228E-3</c:v>
                </c:pt>
                <c:pt idx="30">
                  <c:v>1.8383699999999999E-2</c:v>
                </c:pt>
                <c:pt idx="31">
                  <c:v>-1.78929E-2</c:v>
                </c:pt>
                <c:pt idx="32">
                  <c:v>1.07945E-2</c:v>
                </c:pt>
                <c:pt idx="33">
                  <c:v>4.6852999999999999E-3</c:v>
                </c:pt>
                <c:pt idx="34">
                  <c:v>-3.1395399999999997E-2</c:v>
                </c:pt>
                <c:pt idx="35">
                  <c:v>8.3701000000000001E-3</c:v>
                </c:pt>
                <c:pt idx="36">
                  <c:v>-2.4658900000000001E-2</c:v>
                </c:pt>
                <c:pt idx="37">
                  <c:v>-9.1193999999999997E-3</c:v>
                </c:pt>
                <c:pt idx="38">
                  <c:v>-1.4941899999999999E-2</c:v>
                </c:pt>
                <c:pt idx="39">
                  <c:v>-2.8190400000000001E-2</c:v>
                </c:pt>
                <c:pt idx="40">
                  <c:v>-2.2830300000000001E-2</c:v>
                </c:pt>
                <c:pt idx="41">
                  <c:v>-1.8110299999999999E-2</c:v>
                </c:pt>
                <c:pt idx="42">
                  <c:v>-4.3425E-3</c:v>
                </c:pt>
                <c:pt idx="43">
                  <c:v>7.2348999999999998E-3</c:v>
                </c:pt>
                <c:pt idx="44">
                  <c:v>-1.92757E-2</c:v>
                </c:pt>
                <c:pt idx="45">
                  <c:v>4.6772000000000003E-3</c:v>
                </c:pt>
                <c:pt idx="46">
                  <c:v>-2.2932600000000001E-2</c:v>
                </c:pt>
                <c:pt idx="47">
                  <c:v>-2.3330000000000001E-4</c:v>
                </c:pt>
                <c:pt idx="48">
                  <c:v>-3.2542000000000001E-3</c:v>
                </c:pt>
                <c:pt idx="49">
                  <c:v>-3.3100999999999998E-3</c:v>
                </c:pt>
                <c:pt idx="50">
                  <c:v>1.31115E-2</c:v>
                </c:pt>
                <c:pt idx="51">
                  <c:v>5.4641999999999998E-3</c:v>
                </c:pt>
                <c:pt idx="52">
                  <c:v>-5.1414E-3</c:v>
                </c:pt>
                <c:pt idx="53">
                  <c:v>2.06847E-2</c:v>
                </c:pt>
                <c:pt idx="54">
                  <c:v>2.2947000000000002E-3</c:v>
                </c:pt>
                <c:pt idx="55">
                  <c:v>1.5625000000000001E-3</c:v>
                </c:pt>
                <c:pt idx="56">
                  <c:v>-3.9822499999999997E-2</c:v>
                </c:pt>
                <c:pt idx="57">
                  <c:v>-9.8171999999999999E-3</c:v>
                </c:pt>
                <c:pt idx="58">
                  <c:v>-5.2712000000000002E-2</c:v>
                </c:pt>
                <c:pt idx="59">
                  <c:v>3.5618999999999998E-3</c:v>
                </c:pt>
                <c:pt idx="60">
                  <c:v>-8.0824999999999994E-3</c:v>
                </c:pt>
                <c:pt idx="61">
                  <c:v>-3.9697999999999999E-3</c:v>
                </c:pt>
                <c:pt idx="62">
                  <c:v>-2.2210199999999999E-2</c:v>
                </c:pt>
                <c:pt idx="63">
                  <c:v>3.66796E-2</c:v>
                </c:pt>
                <c:pt idx="64">
                  <c:v>-2.8623200000000001E-2</c:v>
                </c:pt>
                <c:pt idx="65">
                  <c:v>-1.65697E-2</c:v>
                </c:pt>
                <c:pt idx="66">
                  <c:v>-4.3803500000000002E-2</c:v>
                </c:pt>
                <c:pt idx="67">
                  <c:v>-2.2263000000000001E-3</c:v>
                </c:pt>
                <c:pt idx="68">
                  <c:v>-1.18756E-2</c:v>
                </c:pt>
                <c:pt idx="69">
                  <c:v>-1.9300000000000002E-5</c:v>
                </c:pt>
                <c:pt idx="70">
                  <c:v>-2.3494299999999999E-2</c:v>
                </c:pt>
                <c:pt idx="71">
                  <c:v>-2.0010799999999999E-2</c:v>
                </c:pt>
                <c:pt idx="72">
                  <c:v>5.5395000000000002E-3</c:v>
                </c:pt>
                <c:pt idx="73">
                  <c:v>3.0120999999999998E-2</c:v>
                </c:pt>
                <c:pt idx="74">
                  <c:v>1.9468699999999999E-2</c:v>
                </c:pt>
                <c:pt idx="75">
                  <c:v>3.6406000000000001E-2</c:v>
                </c:pt>
                <c:pt idx="76">
                  <c:v>-2.05615E-2</c:v>
                </c:pt>
                <c:pt idx="77">
                  <c:v>2.6065499999999998E-2</c:v>
                </c:pt>
                <c:pt idx="78">
                  <c:v>-7.8545000000000004E-3</c:v>
                </c:pt>
                <c:pt idx="79">
                  <c:v>-8.267E-3</c:v>
                </c:pt>
                <c:pt idx="80">
                  <c:v>8.4940999999999992E-3</c:v>
                </c:pt>
                <c:pt idx="81">
                  <c:v>8.4954999999999996E-3</c:v>
                </c:pt>
                <c:pt idx="82">
                  <c:v>2.9017399999999999E-2</c:v>
                </c:pt>
                <c:pt idx="83">
                  <c:v>-8.5018000000000003E-3</c:v>
                </c:pt>
                <c:pt idx="84">
                  <c:v>4.2214500000000002E-2</c:v>
                </c:pt>
                <c:pt idx="85">
                  <c:v>-1.34343E-2</c:v>
                </c:pt>
                <c:pt idx="86">
                  <c:v>-1.86325E-2</c:v>
                </c:pt>
                <c:pt idx="87">
                  <c:v>-1.84542E-2</c:v>
                </c:pt>
                <c:pt idx="88">
                  <c:v>-1.7465399999999999E-2</c:v>
                </c:pt>
                <c:pt idx="89">
                  <c:v>1.06684E-2</c:v>
                </c:pt>
                <c:pt idx="90">
                  <c:v>4.5535999999999997E-3</c:v>
                </c:pt>
                <c:pt idx="91">
                  <c:v>3.9975999999999996E-3</c:v>
                </c:pt>
                <c:pt idx="92">
                  <c:v>-1.5708E-3</c:v>
                </c:pt>
                <c:pt idx="93">
                  <c:v>-1.3669499999999999E-2</c:v>
                </c:pt>
                <c:pt idx="94">
                  <c:v>1.03312E-2</c:v>
                </c:pt>
                <c:pt idx="95">
                  <c:v>9.2837000000000006E-3</c:v>
                </c:pt>
                <c:pt idx="96">
                  <c:v>-4.5807E-3</c:v>
                </c:pt>
                <c:pt idx="97">
                  <c:v>-3.333E-3</c:v>
                </c:pt>
                <c:pt idx="98">
                  <c:v>1.2466400000000001E-2</c:v>
                </c:pt>
                <c:pt idx="99">
                  <c:v>1.2684300000000001E-2</c:v>
                </c:pt>
                <c:pt idx="100">
                  <c:v>1.1393E-3</c:v>
                </c:pt>
                <c:pt idx="101">
                  <c:v>4.5326999999999998E-3</c:v>
                </c:pt>
                <c:pt idx="102">
                  <c:v>-1.1169500000000001E-2</c:v>
                </c:pt>
                <c:pt idx="103">
                  <c:v>-2.3355999999999998E-2</c:v>
                </c:pt>
                <c:pt idx="104">
                  <c:v>-2.8105999999999999E-3</c:v>
                </c:pt>
                <c:pt idx="105">
                  <c:v>-5.9461999999999996E-3</c:v>
                </c:pt>
                <c:pt idx="106">
                  <c:v>2.9488000000000001E-3</c:v>
                </c:pt>
                <c:pt idx="107">
                  <c:v>1.6858399999999999E-2</c:v>
                </c:pt>
              </c:numCache>
            </c:numRef>
          </c:val>
          <c:extLst>
            <c:ext xmlns:c16="http://schemas.microsoft.com/office/drawing/2014/chart" uri="{C3380CC4-5D6E-409C-BE32-E72D297353CC}">
              <c16:uniqueId val="{0000002B-AE0B-4099-8258-E9AF9E690AE3}"/>
            </c:ext>
          </c:extLst>
        </c:ser>
        <c:dLbls>
          <c:showLegendKey val="0"/>
          <c:showVal val="0"/>
          <c:showCatName val="0"/>
          <c:showSerName val="0"/>
          <c:showPercent val="0"/>
          <c:showBubbleSize val="0"/>
        </c:dLbls>
        <c:gapWidth val="150"/>
        <c:axId val="751882712"/>
        <c:axId val="751885336"/>
      </c:barChart>
      <c:lineChart>
        <c:grouping val="standard"/>
        <c:varyColors val="0"/>
        <c:ser>
          <c:idx val="1"/>
          <c:order val="1"/>
          <c:tx>
            <c:strRef>
              <c:f>AC!$H$1</c:f>
              <c:strCache>
                <c:ptCount val="1"/>
                <c:pt idx="0">
                  <c:v>Moving Mean</c:v>
                </c:pt>
              </c:strCache>
            </c:strRef>
          </c:tx>
          <c:spPr>
            <a:ln w="28575" cap="rnd">
              <a:solidFill>
                <a:srgbClr val="8B4513"/>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AC!$H$2:$H$109</c:f>
              <c:numCache>
                <c:formatCode>0.00%</c:formatCode>
                <c:ptCount val="108"/>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numCache>
            </c:numRef>
          </c:val>
          <c:smooth val="0"/>
          <c:extLst>
            <c:ext xmlns:c16="http://schemas.microsoft.com/office/drawing/2014/chart" uri="{C3380CC4-5D6E-409C-BE32-E72D297353CC}">
              <c16:uniqueId val="{00000003-C6CD-4A96-B385-1CB181C42415}"/>
            </c:ext>
          </c:extLst>
        </c:ser>
        <c:ser>
          <c:idx val="2"/>
          <c:order val="2"/>
          <c:tx>
            <c:strRef>
              <c:f>AC!$I$1</c:f>
              <c:strCache>
                <c:ptCount val="1"/>
                <c:pt idx="0">
                  <c:v>Moving Minimum</c:v>
                </c:pt>
              </c:strCache>
            </c:strRef>
          </c:tx>
          <c:spPr>
            <a:ln w="28575" cap="rnd">
              <a:solidFill>
                <a:srgbClr val="FFC000"/>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AC!$I$2:$I$109</c:f>
              <c:numCache>
                <c:formatCode>0.00%</c:formatCode>
                <c:ptCount val="108"/>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numCache>
            </c:numRef>
          </c:val>
          <c:smooth val="0"/>
          <c:extLst>
            <c:ext xmlns:c16="http://schemas.microsoft.com/office/drawing/2014/chart" uri="{C3380CC4-5D6E-409C-BE32-E72D297353CC}">
              <c16:uniqueId val="{00000004-C6CD-4A96-B385-1CB181C42415}"/>
            </c:ext>
          </c:extLst>
        </c:ser>
        <c:ser>
          <c:idx val="3"/>
          <c:order val="3"/>
          <c:tx>
            <c:strRef>
              <c:f>AC!$J$1</c:f>
              <c:strCache>
                <c:ptCount val="1"/>
                <c:pt idx="0">
                  <c:v>Moving Maximum</c:v>
                </c:pt>
              </c:strCache>
            </c:strRef>
          </c:tx>
          <c:spPr>
            <a:ln w="28575" cap="rnd">
              <a:solidFill>
                <a:schemeClr val="accent2"/>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AC!$J$2:$J$109</c:f>
              <c:numCache>
                <c:formatCode>0.00%</c:formatCode>
                <c:ptCount val="108"/>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numCache>
            </c:numRef>
          </c:val>
          <c:smooth val="0"/>
          <c:extLst>
            <c:ext xmlns:c16="http://schemas.microsoft.com/office/drawing/2014/chart" uri="{C3380CC4-5D6E-409C-BE32-E72D297353CC}">
              <c16:uniqueId val="{00000005-C6CD-4A96-B385-1CB181C42415}"/>
            </c:ext>
          </c:extLst>
        </c:ser>
        <c:ser>
          <c:idx val="4"/>
          <c:order val="4"/>
          <c:tx>
            <c:strRef>
              <c:f>AC!$K$1</c:f>
              <c:strCache>
                <c:ptCount val="1"/>
                <c:pt idx="0">
                  <c:v>Moving Volatility</c:v>
                </c:pt>
              </c:strCache>
            </c:strRef>
          </c:tx>
          <c:spPr>
            <a:ln w="28575" cap="rnd">
              <a:solidFill>
                <a:schemeClr val="accent6"/>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AC!$K$2:$K$109</c:f>
              <c:numCache>
                <c:formatCode>0.00%</c:formatCode>
                <c:ptCount val="108"/>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numCache>
            </c:numRef>
          </c:val>
          <c:smooth val="0"/>
          <c:extLst>
            <c:ext xmlns:c16="http://schemas.microsoft.com/office/drawing/2014/chart" uri="{C3380CC4-5D6E-409C-BE32-E72D297353CC}">
              <c16:uniqueId val="{00000006-C6CD-4A96-B385-1CB181C42415}"/>
            </c:ext>
          </c:extLst>
        </c:ser>
        <c:ser>
          <c:idx val="5"/>
          <c:order val="5"/>
          <c:tx>
            <c:strRef>
              <c:f>AC!$L$1</c:f>
              <c:strCache>
                <c:ptCount val="1"/>
                <c:pt idx="0">
                  <c:v>Moving VaR 5.0%</c:v>
                </c:pt>
              </c:strCache>
            </c:strRef>
          </c:tx>
          <c:spPr>
            <a:ln w="28575" cap="rnd">
              <a:solidFill>
                <a:schemeClr val="tx2"/>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AC!$L$2:$L$109</c:f>
              <c:numCache>
                <c:formatCode>0.00%</c:formatCode>
                <c:ptCount val="108"/>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numCache>
            </c:numRef>
          </c:val>
          <c:smooth val="0"/>
          <c:extLst>
            <c:ext xmlns:c16="http://schemas.microsoft.com/office/drawing/2014/chart" uri="{C3380CC4-5D6E-409C-BE32-E72D297353CC}">
              <c16:uniqueId val="{00000007-C6CD-4A96-B385-1CB181C42415}"/>
            </c:ext>
          </c:extLst>
        </c:ser>
        <c:ser>
          <c:idx val="6"/>
          <c:order val="6"/>
          <c:tx>
            <c:strRef>
              <c:f>AC!$M$1</c:f>
              <c:strCache>
                <c:ptCount val="1"/>
                <c:pt idx="0">
                  <c:v>Moving VaR 95.0%</c:v>
                </c:pt>
              </c:strCache>
            </c:strRef>
          </c:tx>
          <c:spPr>
            <a:ln w="28575" cap="rnd">
              <a:solidFill>
                <a:srgbClr val="00B0F0"/>
              </a:solidFill>
              <a:round/>
            </a:ln>
            <a:effectLst/>
          </c:spPr>
          <c:marker>
            <c:symbol val="none"/>
          </c:marker>
          <c:cat>
            <c:numRef>
              <c:f>AC!$F$2:$F$109</c:f>
              <c:numCache>
                <c:formatCode>[$-409]mmm\-yy;@</c:formatCode>
                <c:ptCount val="108"/>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numCache>
            </c:numRef>
          </c:cat>
          <c:val>
            <c:numRef>
              <c:f>AC!$M$2:$M$109</c:f>
              <c:numCache>
                <c:formatCode>0.00%</c:formatCode>
                <c:ptCount val="108"/>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numCache>
            </c:numRef>
          </c:val>
          <c:smooth val="0"/>
          <c:extLst>
            <c:ext xmlns:c16="http://schemas.microsoft.com/office/drawing/2014/chart" uri="{C3380CC4-5D6E-409C-BE32-E72D297353CC}">
              <c16:uniqueId val="{00000008-C6CD-4A96-B385-1CB181C42415}"/>
            </c:ext>
          </c:extLst>
        </c:ser>
        <c:dLbls>
          <c:showLegendKey val="0"/>
          <c:showVal val="0"/>
          <c:showCatName val="0"/>
          <c:showSerName val="0"/>
          <c:showPercent val="0"/>
          <c:showBubbleSize val="0"/>
        </c:dLbls>
        <c:marker val="1"/>
        <c:smooth val="0"/>
        <c:axId val="751882712"/>
        <c:axId val="751885336"/>
      </c:lineChart>
      <c:dateAx>
        <c:axId val="751882712"/>
        <c:scaling>
          <c:orientation val="minMax"/>
        </c:scaling>
        <c:delete val="0"/>
        <c:axPos val="b"/>
        <c:numFmt formatCode="[$-407]mmm/\ yy;@" sourceLinked="0"/>
        <c:majorTickMark val="out"/>
        <c:minorTickMark val="none"/>
        <c:tickLblPos val="low"/>
        <c:spPr>
          <a:solidFill>
            <a:srgbClr val="EBF0F2"/>
          </a:solid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5336"/>
        <c:crosses val="autoZero"/>
        <c:auto val="0"/>
        <c:lblOffset val="100"/>
        <c:baseTimeUnit val="months"/>
        <c:majorUnit val="6"/>
        <c:majorTimeUnit val="months"/>
      </c:dateAx>
      <c:valAx>
        <c:axId val="751885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51882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BF0F2"/>
    </a:solidFill>
    <a:ln w="9525" cap="flat" cmpd="sng" algn="ctr">
      <a:noFill/>
      <a:round/>
    </a:ln>
    <a:effectLst/>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2" fmlaLink="'AC3'!$CS$7" horiz="1" max="100" page="10" val="50"/>
</file>

<file path=xl/ctrlProps/ctrlProp2.xml><?xml version="1.0" encoding="utf-8"?>
<formControlPr xmlns="http://schemas.microsoft.com/office/spreadsheetml/2009/9/main" objectType="Scroll" dx="22" fmlaLink="$L$45" horiz="1" inc="10" max="90" min="10" page="10" val="50"/>
</file>

<file path=xl/ctrlProps/ctrlProp3.xml><?xml version="1.0" encoding="utf-8"?>
<formControlPr xmlns="http://schemas.microsoft.com/office/spreadsheetml/2009/9/main" objectType="Scroll" dx="22" fmlaLink="$P$45" horiz="1" inc="10" max="90" min="10" page="10" val="54"/>
</file>

<file path=xl/drawings/_rels/drawing1.xml.rels><?xml version="1.0" encoding="UTF-8" standalone="yes"?>
<Relationships xmlns="http://schemas.openxmlformats.org/package/2006/relationships"><Relationship Id="rId8" Type="http://schemas.openxmlformats.org/officeDocument/2006/relationships/hyperlink" Target="#Funds!A1"/><Relationship Id="rId13" Type="http://schemas.openxmlformats.org/officeDocument/2006/relationships/hyperlink" Target="#Sectors!A1"/><Relationship Id="rId3" Type="http://schemas.openxmlformats.org/officeDocument/2006/relationships/hyperlink" Target="#Information!A1"/><Relationship Id="rId7" Type="http://schemas.openxmlformats.org/officeDocument/2006/relationships/hyperlink" Target="#Portfolios!A1"/><Relationship Id="rId12" Type="http://schemas.openxmlformats.org/officeDocument/2006/relationships/hyperlink" Target="#'Management and Hedging'!A1"/><Relationship Id="rId2" Type="http://schemas.openxmlformats.org/officeDocument/2006/relationships/hyperlink" Target="#Imprint!A1"/><Relationship Id="rId16" Type="http://schemas.openxmlformats.org/officeDocument/2006/relationships/hyperlink" Target="#'Asset Returns'!A1"/><Relationship Id="rId1" Type="http://schemas.openxmlformats.org/officeDocument/2006/relationships/hyperlink" Target="#'Best-in-class'!A1"/><Relationship Id="rId6" Type="http://schemas.openxmlformats.org/officeDocument/2006/relationships/hyperlink" Target="#Bonds!A1"/><Relationship Id="rId11" Type="http://schemas.openxmlformats.org/officeDocument/2006/relationships/hyperlink" Target="#'Factor Investing'!A1"/><Relationship Id="rId5" Type="http://schemas.openxmlformats.org/officeDocument/2006/relationships/hyperlink" Target="#Equity!A1"/><Relationship Id="rId15" Type="http://schemas.openxmlformats.org/officeDocument/2006/relationships/hyperlink" Target="#'Risk Factors'!A1"/><Relationship Id="rId10" Type="http://schemas.openxmlformats.org/officeDocument/2006/relationships/hyperlink" Target="#'Financial Sector'!A1"/><Relationship Id="rId4" Type="http://schemas.openxmlformats.org/officeDocument/2006/relationships/hyperlink" Target="#'Carbon Risk Factor BMG'!A1"/><Relationship Id="rId9" Type="http://schemas.openxmlformats.org/officeDocument/2006/relationships/hyperlink" Target="#Countries!A1"/><Relationship Id="rId14" Type="http://schemas.openxmlformats.org/officeDocument/2006/relationships/hyperlink" Target="#BMG!A1"/></Relationships>
</file>

<file path=xl/drawings/_rels/drawing10.xml.rels><?xml version="1.0" encoding="UTF-8" standalone="yes"?>
<Relationships xmlns="http://schemas.openxmlformats.org/package/2006/relationships"><Relationship Id="rId3" Type="http://schemas.openxmlformats.org/officeDocument/2006/relationships/hyperlink" Target="#Imprint!A1"/><Relationship Id="rId2" Type="http://schemas.openxmlformats.org/officeDocument/2006/relationships/hyperlink" Target="#Information!A1"/><Relationship Id="rId1" Type="http://schemas.openxmlformats.org/officeDocument/2006/relationships/hyperlink" Target="#'Table of Content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hyperlink" Target="#'Table of Contents'!A1"/><Relationship Id="rId1" Type="http://schemas.openxmlformats.org/officeDocument/2006/relationships/chart" Target="../charts/chart5.xml"/><Relationship Id="rId4" Type="http://schemas.openxmlformats.org/officeDocument/2006/relationships/hyperlink" Target="#Imprint!A1"/></Relationships>
</file>

<file path=xl/drawings/_rels/drawing12.xml.rels><?xml version="1.0" encoding="UTF-8" standalone="yes"?>
<Relationships xmlns="http://schemas.openxmlformats.org/package/2006/relationships"><Relationship Id="rId3" Type="http://schemas.openxmlformats.org/officeDocument/2006/relationships/hyperlink" Target="#Imprint!A1"/><Relationship Id="rId2" Type="http://schemas.openxmlformats.org/officeDocument/2006/relationships/hyperlink" Target="#Information!A1"/><Relationship Id="rId1" Type="http://schemas.openxmlformats.org/officeDocument/2006/relationships/hyperlink" Target="#'Table of Contents'!A1"/><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chart" Target="../charts/chart6.xml"/><Relationship Id="rId1" Type="http://schemas.openxmlformats.org/officeDocument/2006/relationships/hyperlink" Target="#'Table of Contents'!A1"/><Relationship Id="rId4" Type="http://schemas.openxmlformats.org/officeDocument/2006/relationships/hyperlink" Target="#Imprint!A1"/></Relationships>
</file>

<file path=xl/drawings/_rels/drawing14.xml.rels><?xml version="1.0" encoding="UTF-8" standalone="yes"?>
<Relationships xmlns="http://schemas.openxmlformats.org/package/2006/relationships"><Relationship Id="rId3" Type="http://schemas.openxmlformats.org/officeDocument/2006/relationships/hyperlink" Target="#Imprint!A1"/><Relationship Id="rId2" Type="http://schemas.openxmlformats.org/officeDocument/2006/relationships/hyperlink" Target="#Information!A1"/><Relationship Id="rId1" Type="http://schemas.openxmlformats.org/officeDocument/2006/relationships/hyperlink" Target="#'Table of Contents'!A1"/><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hyperlink" Target="#Imprint!A1"/><Relationship Id="rId2" Type="http://schemas.openxmlformats.org/officeDocument/2006/relationships/hyperlink" Target="#Information!A1"/><Relationship Id="rId1" Type="http://schemas.openxmlformats.org/officeDocument/2006/relationships/hyperlink" Target="#'Table of Contents'!A1"/><Relationship Id="rId4"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Carbon Risk Factor BMG'!A1"/></Relationships>
</file>

<file path=xl/drawings/_rels/drawing17.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chart" Target="../charts/chart9.xml"/><Relationship Id="rId1" Type="http://schemas.openxmlformats.org/officeDocument/2006/relationships/hyperlink" Target="#'Table of Contents'!A1"/><Relationship Id="rId5" Type="http://schemas.openxmlformats.org/officeDocument/2006/relationships/chart" Target="../charts/chart10.xml"/><Relationship Id="rId4" Type="http://schemas.openxmlformats.org/officeDocument/2006/relationships/hyperlink" Target="#Imprint!A1"/></Relationships>
</file>

<file path=xl/drawings/_rels/drawing18.xml.rels><?xml version="1.0" encoding="UTF-8" standalone="yes"?>
<Relationships xmlns="http://schemas.openxmlformats.org/package/2006/relationships"><Relationship Id="rId3" Type="http://schemas.openxmlformats.org/officeDocument/2006/relationships/hyperlink" Target="#'Risk Factors'!A1"/><Relationship Id="rId2" Type="http://schemas.openxmlformats.org/officeDocument/2006/relationships/hyperlink" Target="#'Table of Contents'!A1"/><Relationship Id="rId1" Type="http://schemas.openxmlformats.org/officeDocument/2006/relationships/hyperlink" Target="#BMG!A1"/><Relationship Id="rId4" Type="http://schemas.openxmlformats.org/officeDocument/2006/relationships/hyperlink" Target="#'Asset Return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hyperlink" Target="#Imprint!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3" Type="http://schemas.openxmlformats.org/officeDocument/2006/relationships/hyperlink" Target="#Imprint!A1"/><Relationship Id="rId2" Type="http://schemas.openxmlformats.org/officeDocument/2006/relationships/hyperlink" Target="#Information!A1"/><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8" Type="http://schemas.openxmlformats.org/officeDocument/2006/relationships/hyperlink" Target="mailto:remer@vfu.de" TargetMode="External"/><Relationship Id="rId3" Type="http://schemas.openxmlformats.org/officeDocument/2006/relationships/hyperlink" Target="mailto:marco.wilkens@wiwi.uni-augsburg.de" TargetMode="External"/><Relationship Id="rId7" Type="http://schemas.openxmlformats.org/officeDocument/2006/relationships/hyperlink" Target="mailto:ohlsen@vfu.de" TargetMode="External"/><Relationship Id="rId2" Type="http://schemas.openxmlformats.org/officeDocument/2006/relationships/hyperlink" Target="#'Table of Contents'!A1"/><Relationship Id="rId1" Type="http://schemas.openxmlformats.org/officeDocument/2006/relationships/hyperlink" Target="#Information!A1"/><Relationship Id="rId6" Type="http://schemas.openxmlformats.org/officeDocument/2006/relationships/hyperlink" Target="mailto:maximilian.goergen@wiwi.uni-augsburg.de" TargetMode="External"/><Relationship Id="rId11" Type="http://schemas.openxmlformats.org/officeDocument/2006/relationships/image" Target="../media/image4.jpeg"/><Relationship Id="rId5" Type="http://schemas.openxmlformats.org/officeDocument/2006/relationships/hyperlink" Target="mailto:andrea.jacob@wiwi.uni-augsburg.de" TargetMode="External"/><Relationship Id="rId10" Type="http://schemas.openxmlformats.org/officeDocument/2006/relationships/image" Target="../media/image3.png"/><Relationship Id="rId4" Type="http://schemas.openxmlformats.org/officeDocument/2006/relationships/hyperlink" Target="mailto:martin.nerlinger@wiwi.uni-augsburg.de" TargetMode="External"/><Relationship Id="rId9"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hyperlink" Target="#Portfolios!A1"/><Relationship Id="rId2" Type="http://schemas.openxmlformats.org/officeDocument/2006/relationships/hyperlink" Target="#Bonds!A1"/><Relationship Id="rId1" Type="http://schemas.openxmlformats.org/officeDocument/2006/relationships/hyperlink" Target="#Equity!A1"/><Relationship Id="rId5" Type="http://schemas.openxmlformats.org/officeDocument/2006/relationships/hyperlink" Target="#'Table of Contents'!A1"/><Relationship Id="rId4" Type="http://schemas.openxmlformats.org/officeDocument/2006/relationships/hyperlink" Target="#Funds!A1"/></Relationships>
</file>

<file path=xl/drawings/_rels/drawing5.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chart" Target="../charts/chart1.xml"/><Relationship Id="rId1" Type="http://schemas.openxmlformats.org/officeDocument/2006/relationships/hyperlink" Target="#'Table of Contents'!A1"/><Relationship Id="rId4" Type="http://schemas.openxmlformats.org/officeDocument/2006/relationships/hyperlink" Target="#Imprint!A1"/></Relationships>
</file>

<file path=xl/drawings/_rels/drawing6.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chart" Target="../charts/chart2.xml"/><Relationship Id="rId1" Type="http://schemas.openxmlformats.org/officeDocument/2006/relationships/hyperlink" Target="#'Table of Contents'!A1"/><Relationship Id="rId4" Type="http://schemas.openxmlformats.org/officeDocument/2006/relationships/hyperlink" Target="#Imprint!A1"/></Relationships>
</file>

<file path=xl/drawings/_rels/drawing7.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chart" Target="../charts/chart3.xml"/><Relationship Id="rId1" Type="http://schemas.openxmlformats.org/officeDocument/2006/relationships/hyperlink" Target="#'Table of Contents'!A1"/><Relationship Id="rId4" Type="http://schemas.openxmlformats.org/officeDocument/2006/relationships/hyperlink" Target="#Imprint!A1"/></Relationships>
</file>

<file path=xl/drawings/_rels/drawing8.xml.rels><?xml version="1.0" encoding="UTF-8" standalone="yes"?>
<Relationships xmlns="http://schemas.openxmlformats.org/package/2006/relationships"><Relationship Id="rId3" Type="http://schemas.openxmlformats.org/officeDocument/2006/relationships/hyperlink" Target="#Information!A1"/><Relationship Id="rId2" Type="http://schemas.openxmlformats.org/officeDocument/2006/relationships/chart" Target="../charts/chart4.xml"/><Relationship Id="rId1" Type="http://schemas.openxmlformats.org/officeDocument/2006/relationships/hyperlink" Target="#'Table of Contents'!A1"/><Relationship Id="rId4" Type="http://schemas.openxmlformats.org/officeDocument/2006/relationships/hyperlink" Target="#Imprint!A1"/></Relationships>
</file>

<file path=xl/drawings/_rels/drawing9.xml.rels><?xml version="1.0" encoding="UTF-8" standalone="yes"?>
<Relationships xmlns="http://schemas.openxmlformats.org/package/2006/relationships"><Relationship Id="rId3" Type="http://schemas.openxmlformats.org/officeDocument/2006/relationships/hyperlink" Target="#'Financial Sector'!A1"/><Relationship Id="rId7" Type="http://schemas.openxmlformats.org/officeDocument/2006/relationships/hyperlink" Target="#'Table of Contents'!A1"/><Relationship Id="rId2" Type="http://schemas.openxmlformats.org/officeDocument/2006/relationships/hyperlink" Target="#Countries!A1"/><Relationship Id="rId1" Type="http://schemas.openxmlformats.org/officeDocument/2006/relationships/hyperlink" Target="#'Best-in-class'!A1"/><Relationship Id="rId6" Type="http://schemas.openxmlformats.org/officeDocument/2006/relationships/hyperlink" Target="#Sectors!A1"/><Relationship Id="rId5" Type="http://schemas.openxmlformats.org/officeDocument/2006/relationships/hyperlink" Target="#'Management and Hedging'!A1"/><Relationship Id="rId4" Type="http://schemas.openxmlformats.org/officeDocument/2006/relationships/hyperlink" Target="#'Factor Investing'!A1"/></Relationships>
</file>

<file path=xl/drawings/drawing1.xml><?xml version="1.0" encoding="utf-8"?>
<xdr:wsDr xmlns:xdr="http://schemas.openxmlformats.org/drawingml/2006/spreadsheetDrawing" xmlns:a="http://schemas.openxmlformats.org/drawingml/2006/main">
  <xdr:twoCellAnchor>
    <xdr:from>
      <xdr:col>2</xdr:col>
      <xdr:colOff>114300</xdr:colOff>
      <xdr:row>32</xdr:row>
      <xdr:rowOff>108585</xdr:rowOff>
    </xdr:from>
    <xdr:to>
      <xdr:col>2</xdr:col>
      <xdr:colOff>6867525</xdr:colOff>
      <xdr:row>34</xdr:row>
      <xdr:rowOff>51436</xdr:rowOff>
    </xdr:to>
    <xdr:sp macro="" textlink="">
      <xdr:nvSpPr>
        <xdr:cNvPr id="13" name="Rechteck: abgerundete Ecken 8">
          <a:hlinkClick xmlns:r="http://schemas.openxmlformats.org/officeDocument/2006/relationships" r:id="rId1"/>
          <a:extLst>
            <a:ext uri="{FF2B5EF4-FFF2-40B4-BE49-F238E27FC236}">
              <a16:creationId xmlns:a16="http://schemas.microsoft.com/office/drawing/2014/main" id="{00000000-0008-0000-0000-00000D000000}"/>
            </a:ext>
          </a:extLst>
        </xdr:cNvPr>
        <xdr:cNvSpPr/>
      </xdr:nvSpPr>
      <xdr:spPr>
        <a:xfrm>
          <a:off x="381000" y="5747385"/>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Best-in-class Approach</a:t>
          </a:r>
        </a:p>
      </xdr:txBody>
    </xdr:sp>
    <xdr:clientData/>
  </xdr:twoCellAnchor>
  <xdr:twoCellAnchor>
    <xdr:from>
      <xdr:col>2</xdr:col>
      <xdr:colOff>114300</xdr:colOff>
      <xdr:row>6</xdr:row>
      <xdr:rowOff>19050</xdr:rowOff>
    </xdr:from>
    <xdr:to>
      <xdr:col>2</xdr:col>
      <xdr:colOff>6867525</xdr:colOff>
      <xdr:row>7</xdr:row>
      <xdr:rowOff>95251</xdr:rowOff>
    </xdr:to>
    <xdr:sp macro="" textlink="">
      <xdr:nvSpPr>
        <xdr:cNvPr id="2" name="Rechteck: abgerundete Ecken 8">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381000" y="114300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twoCellAnchor>
    <xdr:from>
      <xdr:col>2</xdr:col>
      <xdr:colOff>114300</xdr:colOff>
      <xdr:row>4</xdr:row>
      <xdr:rowOff>38100</xdr:rowOff>
    </xdr:from>
    <xdr:to>
      <xdr:col>2</xdr:col>
      <xdr:colOff>6867525</xdr:colOff>
      <xdr:row>5</xdr:row>
      <xdr:rowOff>114301</xdr:rowOff>
    </xdr:to>
    <xdr:sp macro="" textlink="">
      <xdr:nvSpPr>
        <xdr:cNvPr id="3" name="Rechteck: abgerundete Ecken 8">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a:xfrm>
          <a:off x="381000" y="78105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2</xdr:col>
      <xdr:colOff>114300</xdr:colOff>
      <xdr:row>36</xdr:row>
      <xdr:rowOff>114300</xdr:rowOff>
    </xdr:from>
    <xdr:to>
      <xdr:col>2</xdr:col>
      <xdr:colOff>6867525</xdr:colOff>
      <xdr:row>38</xdr:row>
      <xdr:rowOff>57151</xdr:rowOff>
    </xdr:to>
    <xdr:sp macro="" textlink="">
      <xdr:nvSpPr>
        <xdr:cNvPr id="4" name="Rechteck: abgerundete Ecken 8">
          <a:hlinkClick xmlns:r="http://schemas.openxmlformats.org/officeDocument/2006/relationships" r:id="rId4"/>
          <a:extLst>
            <a:ext uri="{FF2B5EF4-FFF2-40B4-BE49-F238E27FC236}">
              <a16:creationId xmlns:a16="http://schemas.microsoft.com/office/drawing/2014/main" id="{00000000-0008-0000-0000-000004000000}"/>
            </a:ext>
          </a:extLst>
        </xdr:cNvPr>
        <xdr:cNvSpPr/>
      </xdr:nvSpPr>
      <xdr:spPr>
        <a:xfrm>
          <a:off x="381000" y="6505575"/>
          <a:ext cx="6753225" cy="27622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a:t>
          </a:r>
          <a:r>
            <a:rPr lang="de-DE" sz="1200" baseline="0">
              <a:solidFill>
                <a:schemeClr val="bg1"/>
              </a:solidFill>
            </a:rPr>
            <a:t> Risk Factor </a:t>
          </a:r>
          <a:r>
            <a:rPr lang="de-DE" sz="1200" i="1" baseline="0">
              <a:solidFill>
                <a:schemeClr val="bg1"/>
              </a:solidFill>
            </a:rPr>
            <a:t>BMG</a:t>
          </a:r>
          <a:endParaRPr lang="de-DE" sz="1200" i="1">
            <a:solidFill>
              <a:schemeClr val="bg1"/>
            </a:solidFill>
          </a:endParaRPr>
        </a:p>
      </xdr:txBody>
    </xdr:sp>
    <xdr:clientData/>
  </xdr:twoCellAnchor>
  <xdr:twoCellAnchor>
    <xdr:from>
      <xdr:col>2</xdr:col>
      <xdr:colOff>114300</xdr:colOff>
      <xdr:row>9</xdr:row>
      <xdr:rowOff>108857</xdr:rowOff>
    </xdr:from>
    <xdr:to>
      <xdr:col>2</xdr:col>
      <xdr:colOff>6867525</xdr:colOff>
      <xdr:row>11</xdr:row>
      <xdr:rowOff>51708</xdr:rowOff>
    </xdr:to>
    <xdr:sp macro="" textlink="">
      <xdr:nvSpPr>
        <xdr:cNvPr id="5" name="Rechteck: abgerundete Ecken 8">
          <a:hlinkClick xmlns:r="http://schemas.openxmlformats.org/officeDocument/2006/relationships" r:id="rId5"/>
          <a:extLst>
            <a:ext uri="{FF2B5EF4-FFF2-40B4-BE49-F238E27FC236}">
              <a16:creationId xmlns:a16="http://schemas.microsoft.com/office/drawing/2014/main" id="{00000000-0008-0000-0000-000005000000}"/>
            </a:ext>
          </a:extLst>
        </xdr:cNvPr>
        <xdr:cNvSpPr/>
      </xdr:nvSpPr>
      <xdr:spPr>
        <a:xfrm>
          <a:off x="381000" y="2413907"/>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Equity</a:t>
          </a:r>
        </a:p>
        <a:p>
          <a:pPr algn="ctr"/>
          <a:endParaRPr lang="de-DE" sz="1200">
            <a:solidFill>
              <a:schemeClr val="bg1"/>
            </a:solidFill>
          </a:endParaRPr>
        </a:p>
      </xdr:txBody>
    </xdr:sp>
    <xdr:clientData/>
  </xdr:twoCellAnchor>
  <xdr:twoCellAnchor>
    <xdr:from>
      <xdr:col>2</xdr:col>
      <xdr:colOff>114300</xdr:colOff>
      <xdr:row>11</xdr:row>
      <xdr:rowOff>154668</xdr:rowOff>
    </xdr:from>
    <xdr:to>
      <xdr:col>2</xdr:col>
      <xdr:colOff>6867525</xdr:colOff>
      <xdr:row>13</xdr:row>
      <xdr:rowOff>98880</xdr:rowOff>
    </xdr:to>
    <xdr:sp macro="" textlink="">
      <xdr:nvSpPr>
        <xdr:cNvPr id="6" name="Rechteck: abgerundete Ecken 8">
          <a:hlinkClick xmlns:r="http://schemas.openxmlformats.org/officeDocument/2006/relationships" r:id="rId6"/>
          <a:extLst>
            <a:ext uri="{FF2B5EF4-FFF2-40B4-BE49-F238E27FC236}">
              <a16:creationId xmlns:a16="http://schemas.microsoft.com/office/drawing/2014/main" id="{00000000-0008-0000-0000-000006000000}"/>
            </a:ext>
          </a:extLst>
        </xdr:cNvPr>
        <xdr:cNvSpPr/>
      </xdr:nvSpPr>
      <xdr:spPr>
        <a:xfrm>
          <a:off x="381000" y="2783568"/>
          <a:ext cx="6753225" cy="268062"/>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Bonds</a:t>
          </a:r>
        </a:p>
      </xdr:txBody>
    </xdr:sp>
    <xdr:clientData/>
  </xdr:twoCellAnchor>
  <xdr:twoCellAnchor>
    <xdr:from>
      <xdr:col>2</xdr:col>
      <xdr:colOff>114300</xdr:colOff>
      <xdr:row>14</xdr:row>
      <xdr:rowOff>39915</xdr:rowOff>
    </xdr:from>
    <xdr:to>
      <xdr:col>2</xdr:col>
      <xdr:colOff>6867525</xdr:colOff>
      <xdr:row>15</xdr:row>
      <xdr:rowOff>144691</xdr:rowOff>
    </xdr:to>
    <xdr:sp macro="" textlink="">
      <xdr:nvSpPr>
        <xdr:cNvPr id="7" name="Rechteck: abgerundete Ecken 8">
          <a:hlinkClick xmlns:r="http://schemas.openxmlformats.org/officeDocument/2006/relationships" r:id="rId7"/>
          <a:extLst>
            <a:ext uri="{FF2B5EF4-FFF2-40B4-BE49-F238E27FC236}">
              <a16:creationId xmlns:a16="http://schemas.microsoft.com/office/drawing/2014/main" id="{00000000-0008-0000-0000-000007000000}"/>
            </a:ext>
          </a:extLst>
        </xdr:cNvPr>
        <xdr:cNvSpPr/>
      </xdr:nvSpPr>
      <xdr:spPr>
        <a:xfrm>
          <a:off x="381000" y="315459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Portfolios</a:t>
          </a:r>
        </a:p>
      </xdr:txBody>
    </xdr:sp>
    <xdr:clientData/>
  </xdr:twoCellAnchor>
  <xdr:twoCellAnchor>
    <xdr:from>
      <xdr:col>2</xdr:col>
      <xdr:colOff>114300</xdr:colOff>
      <xdr:row>16</xdr:row>
      <xdr:rowOff>85725</xdr:rowOff>
    </xdr:from>
    <xdr:to>
      <xdr:col>2</xdr:col>
      <xdr:colOff>6867525</xdr:colOff>
      <xdr:row>18</xdr:row>
      <xdr:rowOff>28576</xdr:rowOff>
    </xdr:to>
    <xdr:sp macro="" textlink="">
      <xdr:nvSpPr>
        <xdr:cNvPr id="8" name="Rechteck: abgerundete Ecken 8">
          <a:hlinkClick xmlns:r="http://schemas.openxmlformats.org/officeDocument/2006/relationships" r:id="rId8"/>
          <a:extLst>
            <a:ext uri="{FF2B5EF4-FFF2-40B4-BE49-F238E27FC236}">
              <a16:creationId xmlns:a16="http://schemas.microsoft.com/office/drawing/2014/main" id="{00000000-0008-0000-0000-000008000000}"/>
            </a:ext>
          </a:extLst>
        </xdr:cNvPr>
        <xdr:cNvSpPr/>
      </xdr:nvSpPr>
      <xdr:spPr>
        <a:xfrm>
          <a:off x="381000" y="352425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Funds</a:t>
          </a:r>
        </a:p>
      </xdr:txBody>
    </xdr:sp>
    <xdr:clientData/>
  </xdr:twoCellAnchor>
  <xdr:twoCellAnchor>
    <xdr:from>
      <xdr:col>2</xdr:col>
      <xdr:colOff>114300</xdr:colOff>
      <xdr:row>20</xdr:row>
      <xdr:rowOff>114300</xdr:rowOff>
    </xdr:from>
    <xdr:to>
      <xdr:col>2</xdr:col>
      <xdr:colOff>6867525</xdr:colOff>
      <xdr:row>22</xdr:row>
      <xdr:rowOff>57151</xdr:rowOff>
    </xdr:to>
    <xdr:sp macro="" textlink="">
      <xdr:nvSpPr>
        <xdr:cNvPr id="9" name="Rechteck: abgerundete Ecken 8">
          <a:hlinkClick xmlns:r="http://schemas.openxmlformats.org/officeDocument/2006/relationships" r:id="rId9"/>
          <a:extLst>
            <a:ext uri="{FF2B5EF4-FFF2-40B4-BE49-F238E27FC236}">
              <a16:creationId xmlns:a16="http://schemas.microsoft.com/office/drawing/2014/main" id="{00000000-0008-0000-0000-000009000000}"/>
            </a:ext>
          </a:extLst>
        </xdr:cNvPr>
        <xdr:cNvSpPr/>
      </xdr:nvSpPr>
      <xdr:spPr>
        <a:xfrm>
          <a:off x="381000" y="4467225"/>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Betas</a:t>
          </a:r>
          <a:r>
            <a:rPr lang="de-DE" sz="1200" baseline="0">
              <a:solidFill>
                <a:schemeClr val="bg1"/>
              </a:solidFill>
            </a:rPr>
            <a:t> of Countries</a:t>
          </a:r>
          <a:endParaRPr lang="de-DE" sz="1200">
            <a:solidFill>
              <a:schemeClr val="bg1"/>
            </a:solidFill>
          </a:endParaRPr>
        </a:p>
      </xdr:txBody>
    </xdr:sp>
    <xdr:clientData/>
  </xdr:twoCellAnchor>
  <xdr:twoCellAnchor>
    <xdr:from>
      <xdr:col>2</xdr:col>
      <xdr:colOff>114300</xdr:colOff>
      <xdr:row>25</xdr:row>
      <xdr:rowOff>79749</xdr:rowOff>
    </xdr:from>
    <xdr:to>
      <xdr:col>2</xdr:col>
      <xdr:colOff>6867525</xdr:colOff>
      <xdr:row>27</xdr:row>
      <xdr:rowOff>22600</xdr:rowOff>
    </xdr:to>
    <xdr:sp macro="" textlink="">
      <xdr:nvSpPr>
        <xdr:cNvPr id="10" name="Rechteck: abgerundete Ecken 8">
          <a:hlinkClick xmlns:r="http://schemas.openxmlformats.org/officeDocument/2006/relationships" r:id="rId10"/>
          <a:extLst>
            <a:ext uri="{FF2B5EF4-FFF2-40B4-BE49-F238E27FC236}">
              <a16:creationId xmlns:a16="http://schemas.microsoft.com/office/drawing/2014/main" id="{00000000-0008-0000-0000-00000A000000}"/>
            </a:ext>
          </a:extLst>
        </xdr:cNvPr>
        <xdr:cNvSpPr/>
      </xdr:nvSpPr>
      <xdr:spPr>
        <a:xfrm>
          <a:off x="381000" y="4585074"/>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Betas in the Financial Sector</a:t>
          </a:r>
        </a:p>
      </xdr:txBody>
    </xdr:sp>
    <xdr:clientData/>
  </xdr:twoCellAnchor>
  <xdr:twoCellAnchor>
    <xdr:from>
      <xdr:col>2</xdr:col>
      <xdr:colOff>114300</xdr:colOff>
      <xdr:row>30</xdr:row>
      <xdr:rowOff>44897</xdr:rowOff>
    </xdr:from>
    <xdr:to>
      <xdr:col>2</xdr:col>
      <xdr:colOff>6867525</xdr:colOff>
      <xdr:row>31</xdr:row>
      <xdr:rowOff>149673</xdr:rowOff>
    </xdr:to>
    <xdr:sp macro="" textlink="">
      <xdr:nvSpPr>
        <xdr:cNvPr id="11" name="Rechteck: abgerundete Ecken 8">
          <a:hlinkClick xmlns:r="http://schemas.openxmlformats.org/officeDocument/2006/relationships" r:id="rId11"/>
          <a:extLst>
            <a:ext uri="{FF2B5EF4-FFF2-40B4-BE49-F238E27FC236}">
              <a16:creationId xmlns:a16="http://schemas.microsoft.com/office/drawing/2014/main" id="{00000000-0008-0000-0000-00000B000000}"/>
            </a:ext>
          </a:extLst>
        </xdr:cNvPr>
        <xdr:cNvSpPr/>
      </xdr:nvSpPr>
      <xdr:spPr>
        <a:xfrm>
          <a:off x="381000" y="5359847"/>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Factor </a:t>
          </a:r>
          <a:r>
            <a:rPr lang="de-DE" sz="1200" baseline="0">
              <a:solidFill>
                <a:schemeClr val="bg1"/>
              </a:solidFill>
            </a:rPr>
            <a:t>Investing</a:t>
          </a:r>
          <a:endParaRPr lang="de-DE" sz="1200">
            <a:solidFill>
              <a:schemeClr val="bg1"/>
            </a:solidFill>
          </a:endParaRPr>
        </a:p>
      </xdr:txBody>
    </xdr:sp>
    <xdr:clientData/>
  </xdr:twoCellAnchor>
  <xdr:twoCellAnchor>
    <xdr:from>
      <xdr:col>2</xdr:col>
      <xdr:colOff>114300</xdr:colOff>
      <xdr:row>27</xdr:row>
      <xdr:rowOff>143436</xdr:rowOff>
    </xdr:from>
    <xdr:to>
      <xdr:col>2</xdr:col>
      <xdr:colOff>6867525</xdr:colOff>
      <xdr:row>29</xdr:row>
      <xdr:rowOff>85986</xdr:rowOff>
    </xdr:to>
    <xdr:sp macro="" textlink="">
      <xdr:nvSpPr>
        <xdr:cNvPr id="12" name="Rechteck: abgerundete Ecken 8">
          <a:hlinkClick xmlns:r="http://schemas.openxmlformats.org/officeDocument/2006/relationships" r:id="rId12"/>
          <a:extLst>
            <a:ext uri="{FF2B5EF4-FFF2-40B4-BE49-F238E27FC236}">
              <a16:creationId xmlns:a16="http://schemas.microsoft.com/office/drawing/2014/main" id="{00000000-0008-0000-0000-00000C000000}"/>
            </a:ext>
          </a:extLst>
        </xdr:cNvPr>
        <xdr:cNvSpPr/>
      </xdr:nvSpPr>
      <xdr:spPr>
        <a:xfrm>
          <a:off x="381000" y="4972611"/>
          <a:ext cx="6753225" cy="2664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baseline="0">
              <a:solidFill>
                <a:schemeClr val="bg1"/>
              </a:solidFill>
            </a:rPr>
            <a:t>Management and Hedging of Carbon Risks</a:t>
          </a:r>
          <a:endParaRPr lang="de-DE" sz="1200">
            <a:solidFill>
              <a:schemeClr val="bg1"/>
            </a:solidFill>
          </a:endParaRPr>
        </a:p>
      </xdr:txBody>
    </xdr:sp>
    <xdr:clientData/>
  </xdr:twoCellAnchor>
  <xdr:twoCellAnchor>
    <xdr:from>
      <xdr:col>2</xdr:col>
      <xdr:colOff>114300</xdr:colOff>
      <xdr:row>23</xdr:row>
      <xdr:rowOff>16062</xdr:rowOff>
    </xdr:from>
    <xdr:to>
      <xdr:col>2</xdr:col>
      <xdr:colOff>6867525</xdr:colOff>
      <xdr:row>24</xdr:row>
      <xdr:rowOff>120838</xdr:rowOff>
    </xdr:to>
    <xdr:sp macro="" textlink="">
      <xdr:nvSpPr>
        <xdr:cNvPr id="14" name="Rechteck: abgerundete Ecken 8">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381000" y="4197537"/>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Betas of Sectors</a:t>
          </a:r>
        </a:p>
      </xdr:txBody>
    </xdr:sp>
    <xdr:clientData/>
  </xdr:twoCellAnchor>
  <xdr:twoCellAnchor>
    <xdr:from>
      <xdr:col>2</xdr:col>
      <xdr:colOff>114300</xdr:colOff>
      <xdr:row>40</xdr:row>
      <xdr:rowOff>123825</xdr:rowOff>
    </xdr:from>
    <xdr:to>
      <xdr:col>2</xdr:col>
      <xdr:colOff>2247900</xdr:colOff>
      <xdr:row>42</xdr:row>
      <xdr:rowOff>66676</xdr:rowOff>
    </xdr:to>
    <xdr:sp macro="" textlink="">
      <xdr:nvSpPr>
        <xdr:cNvPr id="15" name="Rechteck: abgerundete Ecken 8">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381000" y="7277100"/>
          <a:ext cx="2133600" cy="27622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i="0" baseline="0">
              <a:solidFill>
                <a:schemeClr val="bg1"/>
              </a:solidFill>
            </a:rPr>
            <a:t>Carbon Risk Factor </a:t>
          </a:r>
          <a:r>
            <a:rPr lang="de-DE" sz="1200" i="1" baseline="0">
              <a:solidFill>
                <a:schemeClr val="bg1"/>
              </a:solidFill>
            </a:rPr>
            <a:t>BMG</a:t>
          </a:r>
          <a:endParaRPr lang="de-DE" sz="1200" i="1">
            <a:solidFill>
              <a:schemeClr val="bg1"/>
            </a:solidFill>
          </a:endParaRPr>
        </a:p>
      </xdr:txBody>
    </xdr:sp>
    <xdr:clientData/>
  </xdr:twoCellAnchor>
  <xdr:twoCellAnchor>
    <xdr:from>
      <xdr:col>2</xdr:col>
      <xdr:colOff>2424112</xdr:colOff>
      <xdr:row>40</xdr:row>
      <xdr:rowOff>123825</xdr:rowOff>
    </xdr:from>
    <xdr:to>
      <xdr:col>2</xdr:col>
      <xdr:colOff>4557712</xdr:colOff>
      <xdr:row>42</xdr:row>
      <xdr:rowOff>66676</xdr:rowOff>
    </xdr:to>
    <xdr:sp macro="" textlink="">
      <xdr:nvSpPr>
        <xdr:cNvPr id="16" name="Rechteck: abgerundete Ecken 8">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690812" y="7277100"/>
          <a:ext cx="2133600" cy="27622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Risk Factors</a:t>
          </a:r>
        </a:p>
      </xdr:txBody>
    </xdr:sp>
    <xdr:clientData/>
  </xdr:twoCellAnchor>
  <xdr:twoCellAnchor>
    <xdr:from>
      <xdr:col>2</xdr:col>
      <xdr:colOff>4733925</xdr:colOff>
      <xdr:row>40</xdr:row>
      <xdr:rowOff>123825</xdr:rowOff>
    </xdr:from>
    <xdr:to>
      <xdr:col>2</xdr:col>
      <xdr:colOff>6867525</xdr:colOff>
      <xdr:row>42</xdr:row>
      <xdr:rowOff>66676</xdr:rowOff>
    </xdr:to>
    <xdr:sp macro="" textlink="">
      <xdr:nvSpPr>
        <xdr:cNvPr id="17" name="Rechteck: abgerundete Ecken 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5000625" y="7277100"/>
          <a:ext cx="2133600" cy="27622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Asset</a:t>
          </a:r>
          <a:r>
            <a:rPr lang="de-DE" sz="1200" baseline="0">
              <a:solidFill>
                <a:schemeClr val="bg1"/>
              </a:solidFill>
            </a:rPr>
            <a:t> Returns</a:t>
          </a:r>
          <a:endParaRPr lang="de-DE" sz="120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4</xdr:col>
      <xdr:colOff>0</xdr:colOff>
      <xdr:row>1</xdr:row>
      <xdr:rowOff>0</xdr:rowOff>
    </xdr:from>
    <xdr:to>
      <xdr:col>15</xdr:col>
      <xdr:colOff>258975</xdr:colOff>
      <xdr:row>4</xdr:row>
      <xdr:rowOff>104776</xdr:rowOff>
    </xdr:to>
    <xdr:sp macro="" textlink="">
      <xdr:nvSpPr>
        <xdr:cNvPr id="4" name="Rechteck: abgerundete Ecken 8">
          <a:extLst>
            <a:ext uri="{FF2B5EF4-FFF2-40B4-BE49-F238E27FC236}">
              <a16:creationId xmlns:a16="http://schemas.microsoft.com/office/drawing/2014/main" id="{00000000-0008-0000-0A00-000004000000}"/>
            </a:ext>
          </a:extLst>
        </xdr:cNvPr>
        <xdr:cNvSpPr/>
      </xdr:nvSpPr>
      <xdr:spPr>
        <a:xfrm>
          <a:off x="3524250"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Carbon Betas of</a:t>
          </a:r>
          <a:r>
            <a:rPr lang="de-DE" sz="1600" b="1" baseline="0">
              <a:solidFill>
                <a:schemeClr val="bg1"/>
              </a:solidFill>
            </a:rPr>
            <a:t> Countries</a:t>
          </a:r>
          <a:endParaRPr lang="de-DE" sz="1600" b="1">
            <a:solidFill>
              <a:schemeClr val="bg1"/>
            </a:solidFill>
          </a:endParaRPr>
        </a:p>
      </xdr:txBody>
    </xdr:sp>
    <xdr:clientData/>
  </xdr:twoCellAnchor>
  <xdr:twoCellAnchor>
    <xdr:from>
      <xdr:col>15</xdr:col>
      <xdr:colOff>1000125</xdr:colOff>
      <xdr:row>1</xdr:row>
      <xdr:rowOff>0</xdr:rowOff>
    </xdr:from>
    <xdr:to>
      <xdr:col>18</xdr:col>
      <xdr:colOff>85950</xdr:colOff>
      <xdr:row>2</xdr:row>
      <xdr:rowOff>76201</xdr:rowOff>
    </xdr:to>
    <xdr:sp macro="" textlink="">
      <xdr:nvSpPr>
        <xdr:cNvPr id="8" name="Rechteck: abgerundete Ecken 8">
          <a:hlinkClick xmlns:r="http://schemas.openxmlformats.org/officeDocument/2006/relationships" r:id="rId2"/>
          <a:extLst>
            <a:ext uri="{FF2B5EF4-FFF2-40B4-BE49-F238E27FC236}">
              <a16:creationId xmlns:a16="http://schemas.microsoft.com/office/drawing/2014/main" id="{00000000-0008-0000-0A00-000008000000}"/>
            </a:ext>
          </a:extLst>
        </xdr:cNvPr>
        <xdr:cNvSpPr/>
      </xdr:nvSpPr>
      <xdr:spPr>
        <a:xfrm>
          <a:off x="13639800"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15</xdr:col>
      <xdr:colOff>1000124</xdr:colOff>
      <xdr:row>3</xdr:row>
      <xdr:rowOff>0</xdr:rowOff>
    </xdr:from>
    <xdr:to>
      <xdr:col>18</xdr:col>
      <xdr:colOff>85949</xdr:colOff>
      <xdr:row>4</xdr:row>
      <xdr:rowOff>76201</xdr:rowOff>
    </xdr:to>
    <xdr:sp macro="" textlink="">
      <xdr:nvSpPr>
        <xdr:cNvPr id="9" name="Rechteck: abgerundete Ecken 8">
          <a:hlinkClick xmlns:r="http://schemas.openxmlformats.org/officeDocument/2006/relationships" r:id="rId3"/>
          <a:extLst>
            <a:ext uri="{FF2B5EF4-FFF2-40B4-BE49-F238E27FC236}">
              <a16:creationId xmlns:a16="http://schemas.microsoft.com/office/drawing/2014/main" id="{00000000-0008-0000-0A00-000009000000}"/>
            </a:ext>
          </a:extLst>
        </xdr:cNvPr>
        <xdr:cNvSpPr/>
      </xdr:nvSpPr>
      <xdr:spPr>
        <a:xfrm>
          <a:off x="13639799"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twoCellAnchor editAs="oneCell">
    <xdr:from>
      <xdr:col>1</xdr:col>
      <xdr:colOff>221514</xdr:colOff>
      <xdr:row>7</xdr:row>
      <xdr:rowOff>166133</xdr:rowOff>
    </xdr:from>
    <xdr:to>
      <xdr:col>12</xdr:col>
      <xdr:colOff>30187</xdr:colOff>
      <xdr:row>47</xdr:row>
      <xdr:rowOff>49022</xdr:rowOff>
    </xdr:to>
    <xdr:pic>
      <xdr:nvPicPr>
        <xdr:cNvPr id="10" name="Grafik 9">
          <a:extLst>
            <a:ext uri="{FF2B5EF4-FFF2-40B4-BE49-F238E27FC236}">
              <a16:creationId xmlns:a16="http://schemas.microsoft.com/office/drawing/2014/main" id="{F879F3B6-658E-4638-8184-F5BDD5787415}"/>
            </a:ext>
          </a:extLst>
        </xdr:cNvPr>
        <xdr:cNvPicPr>
          <a:picLocks noChangeAspect="1"/>
        </xdr:cNvPicPr>
      </xdr:nvPicPr>
      <xdr:blipFill>
        <a:blip xmlns:r="http://schemas.openxmlformats.org/officeDocument/2006/relationships" r:embed="rId4"/>
        <a:stretch>
          <a:fillRect/>
        </a:stretch>
      </xdr:blipFill>
      <xdr:spPr>
        <a:xfrm>
          <a:off x="598084" y="1550581"/>
          <a:ext cx="9876376" cy="78462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190499</xdr:colOff>
      <xdr:row>8</xdr:row>
      <xdr:rowOff>-1</xdr:rowOff>
    </xdr:from>
    <xdr:to>
      <xdr:col>12</xdr:col>
      <xdr:colOff>13607</xdr:colOff>
      <xdr:row>47</xdr:row>
      <xdr:rowOff>13606</xdr:rowOff>
    </xdr:to>
    <xdr:graphicFrame macro="">
      <xdr:nvGraphicFramePr>
        <xdr:cNvPr id="8" name="Diagramm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3</xdr:col>
      <xdr:colOff>209551</xdr:colOff>
      <xdr:row>4</xdr:row>
      <xdr:rowOff>104776</xdr:rowOff>
    </xdr:to>
    <xdr:sp macro="" textlink="">
      <xdr:nvSpPr>
        <xdr:cNvPr id="3" name="Rechteck: abgerundete Ecken 8">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4</xdr:col>
      <xdr:colOff>0</xdr:colOff>
      <xdr:row>1</xdr:row>
      <xdr:rowOff>0</xdr:rowOff>
    </xdr:from>
    <xdr:to>
      <xdr:col>15</xdr:col>
      <xdr:colOff>182775</xdr:colOff>
      <xdr:row>4</xdr:row>
      <xdr:rowOff>104776</xdr:rowOff>
    </xdr:to>
    <xdr:sp macro="" textlink="">
      <xdr:nvSpPr>
        <xdr:cNvPr id="4" name="Rechteck: abgerundete Ecken 8">
          <a:extLst>
            <a:ext uri="{FF2B5EF4-FFF2-40B4-BE49-F238E27FC236}">
              <a16:creationId xmlns:a16="http://schemas.microsoft.com/office/drawing/2014/main" id="{00000000-0008-0000-0B00-000004000000}"/>
            </a:ext>
          </a:extLst>
        </xdr:cNvPr>
        <xdr:cNvSpPr/>
      </xdr:nvSpPr>
      <xdr:spPr>
        <a:xfrm>
          <a:off x="3524250"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Carbon Betas of</a:t>
          </a:r>
          <a:r>
            <a:rPr lang="de-DE" sz="1600" b="1" baseline="0">
              <a:solidFill>
                <a:schemeClr val="bg1"/>
              </a:solidFill>
            </a:rPr>
            <a:t> Sectors</a:t>
          </a:r>
          <a:endParaRPr lang="de-DE" sz="1600" b="1">
            <a:solidFill>
              <a:schemeClr val="bg1"/>
            </a:solidFill>
          </a:endParaRPr>
        </a:p>
      </xdr:txBody>
    </xdr:sp>
    <xdr:clientData/>
  </xdr:twoCellAnchor>
  <xdr:twoCellAnchor>
    <xdr:from>
      <xdr:col>16</xdr:col>
      <xdr:colOff>561973</xdr:colOff>
      <xdr:row>1</xdr:row>
      <xdr:rowOff>0</xdr:rowOff>
    </xdr:from>
    <xdr:to>
      <xdr:col>21</xdr:col>
      <xdr:colOff>171673</xdr:colOff>
      <xdr:row>2</xdr:row>
      <xdr:rowOff>76201</xdr:rowOff>
    </xdr:to>
    <xdr:sp macro="" textlink="">
      <xdr:nvSpPr>
        <xdr:cNvPr id="6" name="Rechteck: abgerundete Ecken 8">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3954123"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561972</xdr:colOff>
      <xdr:row>3</xdr:row>
      <xdr:rowOff>0</xdr:rowOff>
    </xdr:from>
    <xdr:to>
      <xdr:col>21</xdr:col>
      <xdr:colOff>171672</xdr:colOff>
      <xdr:row>4</xdr:row>
      <xdr:rowOff>76201</xdr:rowOff>
    </xdr:to>
    <xdr:sp macro="" textlink="">
      <xdr:nvSpPr>
        <xdr:cNvPr id="7" name="Rechteck: abgerundete Ecken 8">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13954122"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3" name="Rechteck: abgerundete Ecken 8">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4</xdr:col>
      <xdr:colOff>0</xdr:colOff>
      <xdr:row>1</xdr:row>
      <xdr:rowOff>0</xdr:rowOff>
    </xdr:from>
    <xdr:to>
      <xdr:col>15</xdr:col>
      <xdr:colOff>258975</xdr:colOff>
      <xdr:row>4</xdr:row>
      <xdr:rowOff>104776</xdr:rowOff>
    </xdr:to>
    <xdr:sp macro="" textlink="">
      <xdr:nvSpPr>
        <xdr:cNvPr id="4" name="Rechteck: abgerundete Ecken 8">
          <a:extLst>
            <a:ext uri="{FF2B5EF4-FFF2-40B4-BE49-F238E27FC236}">
              <a16:creationId xmlns:a16="http://schemas.microsoft.com/office/drawing/2014/main" id="{00000000-0008-0000-0C00-000004000000}"/>
            </a:ext>
          </a:extLst>
        </xdr:cNvPr>
        <xdr:cNvSpPr/>
      </xdr:nvSpPr>
      <xdr:spPr>
        <a:xfrm>
          <a:off x="3524250"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Carbon Betas</a:t>
          </a:r>
          <a:r>
            <a:rPr lang="de-DE" sz="1600" b="1" baseline="0">
              <a:solidFill>
                <a:schemeClr val="bg1"/>
              </a:solidFill>
            </a:rPr>
            <a:t> in the Financial Sector</a:t>
          </a:r>
          <a:endParaRPr lang="de-DE" sz="1600" b="1">
            <a:solidFill>
              <a:schemeClr val="bg1"/>
            </a:solidFill>
          </a:endParaRPr>
        </a:p>
      </xdr:txBody>
    </xdr:sp>
    <xdr:clientData/>
  </xdr:twoCellAnchor>
  <xdr:twoCellAnchor>
    <xdr:from>
      <xdr:col>15</xdr:col>
      <xdr:colOff>1000125</xdr:colOff>
      <xdr:row>1</xdr:row>
      <xdr:rowOff>0</xdr:rowOff>
    </xdr:from>
    <xdr:to>
      <xdr:col>18</xdr:col>
      <xdr:colOff>85950</xdr:colOff>
      <xdr:row>2</xdr:row>
      <xdr:rowOff>76201</xdr:rowOff>
    </xdr:to>
    <xdr:sp macro="" textlink="">
      <xdr:nvSpPr>
        <xdr:cNvPr id="6" name="Rechteck: abgerundete Ecken 8">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13639800"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15</xdr:col>
      <xdr:colOff>1000124</xdr:colOff>
      <xdr:row>3</xdr:row>
      <xdr:rowOff>0</xdr:rowOff>
    </xdr:from>
    <xdr:to>
      <xdr:col>18</xdr:col>
      <xdr:colOff>85949</xdr:colOff>
      <xdr:row>4</xdr:row>
      <xdr:rowOff>76201</xdr:rowOff>
    </xdr:to>
    <xdr:sp macro="" textlink="">
      <xdr:nvSpPr>
        <xdr:cNvPr id="7" name="Rechteck: abgerundete Ecken 8">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13639799"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1200">
              <a:solidFill>
                <a:schemeClr val="lt1"/>
              </a:solidFill>
              <a:effectLst/>
              <a:latin typeface="+mn-lt"/>
              <a:ea typeface="+mn-ea"/>
              <a:cs typeface="+mn-cs"/>
            </a:rPr>
            <a:t>Imprint</a:t>
          </a:r>
          <a:endParaRPr lang="de-DE" sz="1400">
            <a:solidFill>
              <a:schemeClr val="bg1"/>
            </a:solidFill>
          </a:endParaRPr>
        </a:p>
      </xdr:txBody>
    </xdr:sp>
    <xdr:clientData/>
  </xdr:twoCellAnchor>
  <xdr:twoCellAnchor>
    <xdr:from>
      <xdr:col>5</xdr:col>
      <xdr:colOff>168109</xdr:colOff>
      <xdr:row>27</xdr:row>
      <xdr:rowOff>89436</xdr:rowOff>
    </xdr:from>
    <xdr:to>
      <xdr:col>7</xdr:col>
      <xdr:colOff>781049</xdr:colOff>
      <xdr:row>28</xdr:row>
      <xdr:rowOff>182212</xdr:rowOff>
    </xdr:to>
    <xdr:sp macro="" textlink="">
      <xdr:nvSpPr>
        <xdr:cNvPr id="8" name="Rechteck 7">
          <a:extLst>
            <a:ext uri="{FF2B5EF4-FFF2-40B4-BE49-F238E27FC236}">
              <a16:creationId xmlns:a16="http://schemas.microsoft.com/office/drawing/2014/main" id="{00000000-0008-0000-0C00-000008000000}"/>
            </a:ext>
          </a:extLst>
        </xdr:cNvPr>
        <xdr:cNvSpPr/>
      </xdr:nvSpPr>
      <xdr:spPr>
        <a:xfrm>
          <a:off x="4454359" y="5480586"/>
          <a:ext cx="2698915" cy="2928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a:solidFill>
                <a:sysClr val="windowText" lastClr="000000"/>
              </a:solidFill>
            </a:rPr>
            <a:t>Carbon Betas</a:t>
          </a:r>
          <a:r>
            <a:rPr lang="de-DE" sz="1200" baseline="0">
              <a:solidFill>
                <a:sysClr val="windowText" lastClr="000000"/>
              </a:solidFill>
            </a:rPr>
            <a:t> in the Financial Sector</a:t>
          </a:r>
          <a:endParaRPr lang="de-DE" sz="1200">
            <a:solidFill>
              <a:sysClr val="windowText" lastClr="000000"/>
            </a:solidFill>
          </a:endParaRPr>
        </a:p>
      </xdr:txBody>
    </xdr:sp>
    <xdr:clientData/>
  </xdr:twoCellAnchor>
  <xdr:twoCellAnchor>
    <xdr:from>
      <xdr:col>5</xdr:col>
      <xdr:colOff>710540</xdr:colOff>
      <xdr:row>7</xdr:row>
      <xdr:rowOff>14720</xdr:rowOff>
    </xdr:from>
    <xdr:to>
      <xdr:col>7</xdr:col>
      <xdr:colOff>420213</xdr:colOff>
      <xdr:row>8</xdr:row>
      <xdr:rowOff>117021</xdr:rowOff>
    </xdr:to>
    <xdr:sp macro="" textlink="">
      <xdr:nvSpPr>
        <xdr:cNvPr id="9" name="Rechteck 8">
          <a:extLst>
            <a:ext uri="{FF2B5EF4-FFF2-40B4-BE49-F238E27FC236}">
              <a16:creationId xmlns:a16="http://schemas.microsoft.com/office/drawing/2014/main" id="{00000000-0008-0000-0C00-000009000000}"/>
            </a:ext>
          </a:extLst>
        </xdr:cNvPr>
        <xdr:cNvSpPr/>
      </xdr:nvSpPr>
      <xdr:spPr>
        <a:xfrm>
          <a:off x="4996790" y="1414895"/>
          <a:ext cx="1795648" cy="2928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a:solidFill>
                <a:sysClr val="windowText" lastClr="000000"/>
              </a:solidFill>
            </a:rPr>
            <a:t>Carbon Betas of Banks</a:t>
          </a:r>
        </a:p>
      </xdr:txBody>
    </xdr:sp>
    <xdr:clientData/>
  </xdr:twoCellAnchor>
  <xdr:twoCellAnchor editAs="oneCell">
    <xdr:from>
      <xdr:col>1</xdr:col>
      <xdr:colOff>238125</xdr:colOff>
      <xdr:row>8</xdr:row>
      <xdr:rowOff>85725</xdr:rowOff>
    </xdr:from>
    <xdr:to>
      <xdr:col>11</xdr:col>
      <xdr:colOff>673692</xdr:colOff>
      <xdr:row>47</xdr:row>
      <xdr:rowOff>137079</xdr:rowOff>
    </xdr:to>
    <xdr:pic>
      <xdr:nvPicPr>
        <xdr:cNvPr id="5" name="Grafik 4">
          <a:extLst>
            <a:ext uri="{FF2B5EF4-FFF2-40B4-BE49-F238E27FC236}">
              <a16:creationId xmlns:a16="http://schemas.microsoft.com/office/drawing/2014/main" id="{D20ECEF2-28DA-4F31-9DA4-197FEB8F3463}"/>
            </a:ext>
          </a:extLst>
        </xdr:cNvPr>
        <xdr:cNvPicPr>
          <a:picLocks noChangeAspect="1"/>
        </xdr:cNvPicPr>
      </xdr:nvPicPr>
      <xdr:blipFill>
        <a:blip xmlns:r="http://schemas.openxmlformats.org/officeDocument/2006/relationships" r:embed="rId4"/>
        <a:stretch>
          <a:fillRect/>
        </a:stretch>
      </xdr:blipFill>
      <xdr:spPr>
        <a:xfrm>
          <a:off x="619125" y="1676400"/>
          <a:ext cx="9760542" cy="78523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1</xdr:col>
      <xdr:colOff>201707</xdr:colOff>
      <xdr:row>17</xdr:row>
      <xdr:rowOff>163603</xdr:rowOff>
    </xdr:from>
    <xdr:to>
      <xdr:col>10</xdr:col>
      <xdr:colOff>268942</xdr:colOff>
      <xdr:row>44</xdr:row>
      <xdr:rowOff>110936</xdr:rowOff>
    </xdr:to>
    <xdr:graphicFrame macro="">
      <xdr:nvGraphicFramePr>
        <xdr:cNvPr id="3" name="CR_Factor">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0</xdr:rowOff>
    </xdr:from>
    <xdr:to>
      <xdr:col>14</xdr:col>
      <xdr:colOff>716175</xdr:colOff>
      <xdr:row>4</xdr:row>
      <xdr:rowOff>104776</xdr:rowOff>
    </xdr:to>
    <xdr:sp macro="" textlink="">
      <xdr:nvSpPr>
        <xdr:cNvPr id="4" name="Rechteck: abgerundete Ecken 8">
          <a:extLst>
            <a:ext uri="{FF2B5EF4-FFF2-40B4-BE49-F238E27FC236}">
              <a16:creationId xmlns:a16="http://schemas.microsoft.com/office/drawing/2014/main" id="{00000000-0008-0000-0D00-000004000000}"/>
            </a:ext>
          </a:extLst>
        </xdr:cNvPr>
        <xdr:cNvSpPr/>
      </xdr:nvSpPr>
      <xdr:spPr>
        <a:xfrm>
          <a:off x="3524250"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Management and Hedging of Carbon Risks</a:t>
          </a:r>
        </a:p>
      </xdr:txBody>
    </xdr:sp>
    <xdr:clientData/>
  </xdr:twoCellAnchor>
  <xdr:twoCellAnchor>
    <xdr:from>
      <xdr:col>15</xdr:col>
      <xdr:colOff>695324</xdr:colOff>
      <xdr:row>1</xdr:row>
      <xdr:rowOff>0</xdr:rowOff>
    </xdr:from>
    <xdr:to>
      <xdr:col>18</xdr:col>
      <xdr:colOff>266924</xdr:colOff>
      <xdr:row>2</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a:xfrm>
          <a:off x="13639799"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15</xdr:col>
      <xdr:colOff>695325</xdr:colOff>
      <xdr:row>3</xdr:row>
      <xdr:rowOff>0</xdr:rowOff>
    </xdr:from>
    <xdr:to>
      <xdr:col>18</xdr:col>
      <xdr:colOff>266925</xdr:colOff>
      <xdr:row>4</xdr:row>
      <xdr:rowOff>76201</xdr:rowOff>
    </xdr:to>
    <xdr:sp macro="" textlink="">
      <xdr:nvSpPr>
        <xdr:cNvPr id="6" name="Rechteck: abgerundete Ecken 8">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380999</xdr:colOff>
      <xdr:row>1</xdr:row>
      <xdr:rowOff>0</xdr:rowOff>
    </xdr:from>
    <xdr:to>
      <xdr:col>3</xdr:col>
      <xdr:colOff>779999</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80999" y="190500"/>
          <a:ext cx="2304000"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4</xdr:col>
      <xdr:colOff>542925</xdr:colOff>
      <xdr:row>1</xdr:row>
      <xdr:rowOff>0</xdr:rowOff>
    </xdr:from>
    <xdr:to>
      <xdr:col>15</xdr:col>
      <xdr:colOff>135150</xdr:colOff>
      <xdr:row>4</xdr:row>
      <xdr:rowOff>104776</xdr:rowOff>
    </xdr:to>
    <xdr:sp macro="" textlink="">
      <xdr:nvSpPr>
        <xdr:cNvPr id="3" name="Rechteck: abgerundete Ecken 8">
          <a:extLst>
            <a:ext uri="{FF2B5EF4-FFF2-40B4-BE49-F238E27FC236}">
              <a16:creationId xmlns:a16="http://schemas.microsoft.com/office/drawing/2014/main" id="{00000000-0008-0000-0E00-000003000000}"/>
            </a:ext>
          </a:extLst>
        </xdr:cNvPr>
        <xdr:cNvSpPr/>
      </xdr:nvSpPr>
      <xdr:spPr>
        <a:xfrm>
          <a:off x="3524250"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Factor Investing</a:t>
          </a:r>
        </a:p>
      </xdr:txBody>
    </xdr:sp>
    <xdr:clientData/>
  </xdr:twoCellAnchor>
  <xdr:twoCellAnchor>
    <xdr:from>
      <xdr:col>16</xdr:col>
      <xdr:colOff>28575</xdr:colOff>
      <xdr:row>1</xdr:row>
      <xdr:rowOff>0</xdr:rowOff>
    </xdr:from>
    <xdr:to>
      <xdr:col>18</xdr:col>
      <xdr:colOff>276450</xdr:colOff>
      <xdr:row>2</xdr:row>
      <xdr:rowOff>76201</xdr:rowOff>
    </xdr:to>
    <xdr:sp macro="" textlink="">
      <xdr:nvSpPr>
        <xdr:cNvPr id="4" name="Rechteck: abgerundete Ecken 8">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13639800"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28575</xdr:colOff>
      <xdr:row>3</xdr:row>
      <xdr:rowOff>0</xdr:rowOff>
    </xdr:from>
    <xdr:to>
      <xdr:col>18</xdr:col>
      <xdr:colOff>276450</xdr:colOff>
      <xdr:row>4</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0E00-000005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mc:AlternateContent xmlns:mc="http://schemas.openxmlformats.org/markup-compatibility/2006">
    <mc:Choice xmlns:a14="http://schemas.microsoft.com/office/drawing/2010/main" Requires="a14">
      <xdr:twoCellAnchor editAs="oneCell">
        <xdr:from>
          <xdr:col>14</xdr:col>
          <xdr:colOff>38100</xdr:colOff>
          <xdr:row>44</xdr:row>
          <xdr:rowOff>85725</xdr:rowOff>
        </xdr:from>
        <xdr:to>
          <xdr:col>15</xdr:col>
          <xdr:colOff>800100</xdr:colOff>
          <xdr:row>45</xdr:row>
          <xdr:rowOff>114300</xdr:rowOff>
        </xdr:to>
        <xdr:sp macro="" textlink="">
          <xdr:nvSpPr>
            <xdr:cNvPr id="13313" name="Scroll Bar 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2</xdr:col>
      <xdr:colOff>400050</xdr:colOff>
      <xdr:row>9</xdr:row>
      <xdr:rowOff>161925</xdr:rowOff>
    </xdr:from>
    <xdr:to>
      <xdr:col>16</xdr:col>
      <xdr:colOff>219074</xdr:colOff>
      <xdr:row>41</xdr:row>
      <xdr:rowOff>71349</xdr:rowOff>
    </xdr:to>
    <xdr:graphicFrame macro="">
      <xdr:nvGraphicFramePr>
        <xdr:cNvPr id="8" name="Diagramm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694275</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81000" y="190500"/>
          <a:ext cx="2304000"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4</xdr:col>
      <xdr:colOff>685799</xdr:colOff>
      <xdr:row>1</xdr:row>
      <xdr:rowOff>0</xdr:rowOff>
    </xdr:from>
    <xdr:to>
      <xdr:col>15</xdr:col>
      <xdr:colOff>735224</xdr:colOff>
      <xdr:row>4</xdr:row>
      <xdr:rowOff>104776</xdr:rowOff>
    </xdr:to>
    <xdr:sp macro="" textlink="">
      <xdr:nvSpPr>
        <xdr:cNvPr id="3" name="Rechteck: abgerundete Ecken 8">
          <a:extLst>
            <a:ext uri="{FF2B5EF4-FFF2-40B4-BE49-F238E27FC236}">
              <a16:creationId xmlns:a16="http://schemas.microsoft.com/office/drawing/2014/main" id="{00000000-0008-0000-0F00-000003000000}"/>
            </a:ext>
          </a:extLst>
        </xdr:cNvPr>
        <xdr:cNvSpPr/>
      </xdr:nvSpPr>
      <xdr:spPr>
        <a:xfrm>
          <a:off x="3524249"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Best-in-class</a:t>
          </a:r>
          <a:r>
            <a:rPr lang="de-DE" sz="1600" b="1" baseline="0">
              <a:solidFill>
                <a:schemeClr val="bg1"/>
              </a:solidFill>
            </a:rPr>
            <a:t> Approach</a:t>
          </a:r>
          <a:endParaRPr lang="de-DE" sz="1600" b="1">
            <a:solidFill>
              <a:schemeClr val="bg1"/>
            </a:solidFill>
          </a:endParaRPr>
        </a:p>
      </xdr:txBody>
    </xdr:sp>
    <xdr:clientData/>
  </xdr:twoCellAnchor>
  <xdr:twoCellAnchor>
    <xdr:from>
      <xdr:col>16</xdr:col>
      <xdr:colOff>628650</xdr:colOff>
      <xdr:row>1</xdr:row>
      <xdr:rowOff>0</xdr:rowOff>
    </xdr:from>
    <xdr:to>
      <xdr:col>18</xdr:col>
      <xdr:colOff>876525</xdr:colOff>
      <xdr:row>2</xdr:row>
      <xdr:rowOff>76201</xdr:rowOff>
    </xdr:to>
    <xdr:sp macro="" textlink="">
      <xdr:nvSpPr>
        <xdr:cNvPr id="4" name="Rechteck: abgerundete Ecken 8">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a:off x="13639800"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628650</xdr:colOff>
      <xdr:row>3</xdr:row>
      <xdr:rowOff>0</xdr:rowOff>
    </xdr:from>
    <xdr:to>
      <xdr:col>18</xdr:col>
      <xdr:colOff>876525</xdr:colOff>
      <xdr:row>4</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0F00-000005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twoCellAnchor>
    <xdr:from>
      <xdr:col>2</xdr:col>
      <xdr:colOff>552451</xdr:colOff>
      <xdr:row>8</xdr:row>
      <xdr:rowOff>114300</xdr:rowOff>
    </xdr:from>
    <xdr:to>
      <xdr:col>17</xdr:col>
      <xdr:colOff>123825</xdr:colOff>
      <xdr:row>40</xdr:row>
      <xdr:rowOff>23724</xdr:rowOff>
    </xdr:to>
    <xdr:graphicFrame macro="">
      <xdr:nvGraphicFramePr>
        <xdr:cNvPr id="6" name="Diagramm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38100</xdr:colOff>
          <xdr:row>44</xdr:row>
          <xdr:rowOff>85725</xdr:rowOff>
        </xdr:from>
        <xdr:to>
          <xdr:col>11</xdr:col>
          <xdr:colOff>800100</xdr:colOff>
          <xdr:row>45</xdr:row>
          <xdr:rowOff>114300</xdr:rowOff>
        </xdr:to>
        <xdr:sp macro="" textlink="">
          <xdr:nvSpPr>
            <xdr:cNvPr id="14341" name="Scroll Bar 5" hidden="1">
              <a:extLst>
                <a:ext uri="{63B3BB69-23CF-44E3-9099-C40C66FF867C}">
                  <a14:compatExt spid="_x0000_s14341"/>
                </a:ext>
                <a:ext uri="{FF2B5EF4-FFF2-40B4-BE49-F238E27FC236}">
                  <a16:creationId xmlns:a16="http://schemas.microsoft.com/office/drawing/2014/main" id="{00000000-0008-0000-0F00-000005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76200</xdr:rowOff>
        </xdr:from>
        <xdr:to>
          <xdr:col>15</xdr:col>
          <xdr:colOff>800100</xdr:colOff>
          <xdr:row>45</xdr:row>
          <xdr:rowOff>104775</xdr:rowOff>
        </xdr:to>
        <xdr:sp macro="" textlink="">
          <xdr:nvSpPr>
            <xdr:cNvPr id="14344" name="Scroll Bar 8" hidden="1">
              <a:extLst>
                <a:ext uri="{63B3BB69-23CF-44E3-9099-C40C66FF867C}">
                  <a14:compatExt spid="_x0000_s14344"/>
                </a:ext>
                <a:ext uri="{FF2B5EF4-FFF2-40B4-BE49-F238E27FC236}">
                  <a16:creationId xmlns:a16="http://schemas.microsoft.com/office/drawing/2014/main" id="{00000000-0008-0000-0F00-000008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234000</xdr:colOff>
      <xdr:row>20</xdr:row>
      <xdr:rowOff>171000</xdr:rowOff>
    </xdr:to>
    <xdr:sp macro="" textlink="">
      <xdr:nvSpPr>
        <xdr:cNvPr id="2" name="Rechteck: abgerundete Ecken 2">
          <a:extLst>
            <a:ext uri="{FF2B5EF4-FFF2-40B4-BE49-F238E27FC236}">
              <a16:creationId xmlns:a16="http://schemas.microsoft.com/office/drawing/2014/main" id="{00000000-0008-0000-1000-000002000000}"/>
            </a:ext>
          </a:extLst>
        </xdr:cNvPr>
        <xdr:cNvSpPr/>
      </xdr:nvSpPr>
      <xdr:spPr>
        <a:xfrm>
          <a:off x="762000" y="38100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Chapter 5:</a:t>
          </a:r>
          <a:endParaRPr lang="de-DE">
            <a:effectLst/>
          </a:endParaRPr>
        </a:p>
        <a:p>
          <a:r>
            <a:rPr lang="de-DE" sz="1100">
              <a:solidFill>
                <a:schemeClr val="lt1"/>
              </a:solidFill>
              <a:effectLst/>
              <a:latin typeface="+mn-lt"/>
              <a:ea typeface="+mn-ea"/>
              <a:cs typeface="+mn-cs"/>
            </a:rPr>
            <a:t>On the following</a:t>
          </a:r>
          <a:r>
            <a:rPr lang="de-DE" sz="1100" baseline="0">
              <a:solidFill>
                <a:schemeClr val="lt1"/>
              </a:solidFill>
              <a:effectLst/>
              <a:latin typeface="+mn-lt"/>
              <a:ea typeface="+mn-ea"/>
              <a:cs typeface="+mn-cs"/>
            </a:rPr>
            <a:t> sheet, you can find an overview of the Carbon Risk Factor </a:t>
          </a:r>
          <a:r>
            <a:rPr lang="de-DE" sz="1100" i="1" baseline="0">
              <a:solidFill>
                <a:schemeClr val="lt1"/>
              </a:solidFill>
              <a:effectLst/>
              <a:latin typeface="+mn-lt"/>
              <a:ea typeface="+mn-ea"/>
              <a:cs typeface="+mn-cs"/>
            </a:rPr>
            <a:t>BMG</a:t>
          </a:r>
          <a:r>
            <a:rPr lang="de-DE" sz="1100" baseline="0">
              <a:solidFill>
                <a:schemeClr val="lt1"/>
              </a:solidFill>
              <a:effectLst/>
              <a:latin typeface="+mn-lt"/>
              <a:ea typeface="+mn-ea"/>
              <a:cs typeface="+mn-cs"/>
            </a:rPr>
            <a:t>.</a:t>
          </a:r>
          <a:endParaRPr lang="de-DE">
            <a:effectLst/>
          </a:endParaRPr>
        </a:p>
      </xdr:txBody>
    </xdr:sp>
    <xdr:clientData/>
  </xdr:twoCellAnchor>
  <xdr:twoCellAnchor>
    <xdr:from>
      <xdr:col>5</xdr:col>
      <xdr:colOff>0</xdr:colOff>
      <xdr:row>7</xdr:row>
      <xdr:rowOff>0</xdr:rowOff>
    </xdr:from>
    <xdr:to>
      <xdr:col>13</xdr:col>
      <xdr:colOff>657225</xdr:colOff>
      <xdr:row>8</xdr:row>
      <xdr:rowOff>76201</xdr:rowOff>
    </xdr:to>
    <xdr:sp macro="" textlink="">
      <xdr:nvSpPr>
        <xdr:cNvPr id="3" name="Rechteck: abgerundete Ecken 8">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3810000" y="133350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Risk Factor </a:t>
          </a:r>
          <a:r>
            <a:rPr lang="de-DE" sz="1200" i="1">
              <a:solidFill>
                <a:schemeClr val="bg1"/>
              </a:solidFill>
            </a:rPr>
            <a:t>BMG</a:t>
          </a:r>
        </a:p>
        <a:p>
          <a:pPr algn="ctr"/>
          <a:endParaRPr lang="de-DE" sz="1200">
            <a:solidFill>
              <a:schemeClr val="bg1"/>
            </a:solidFill>
          </a:endParaRPr>
        </a:p>
      </xdr:txBody>
    </xdr:sp>
    <xdr:clientData/>
  </xdr:twoCellAnchor>
  <xdr:twoCellAnchor>
    <xdr:from>
      <xdr:col>8</xdr:col>
      <xdr:colOff>152400</xdr:colOff>
      <xdr:row>2</xdr:row>
      <xdr:rowOff>114300</xdr:rowOff>
    </xdr:from>
    <xdr:to>
      <xdr:col>10</xdr:col>
      <xdr:colOff>361951</xdr:colOff>
      <xdr:row>6</xdr:row>
      <xdr:rowOff>28576</xdr:rowOff>
    </xdr:to>
    <xdr:sp macro="" textlink="">
      <xdr:nvSpPr>
        <xdr:cNvPr id="7" name="Rechteck: abgerundete Ecken 8">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6248400" y="495300"/>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4" name="Rechteck: abgerundete Ecken 8">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762000" y="190500"/>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1</xdr:col>
      <xdr:colOff>200025</xdr:colOff>
      <xdr:row>17</xdr:row>
      <xdr:rowOff>68353</xdr:rowOff>
    </xdr:from>
    <xdr:to>
      <xdr:col>10</xdr:col>
      <xdr:colOff>448235</xdr:colOff>
      <xdr:row>31</xdr:row>
      <xdr:rowOff>148003</xdr:rowOff>
    </xdr:to>
    <xdr:graphicFrame macro="">
      <xdr:nvGraphicFramePr>
        <xdr:cNvPr id="5" name="CR_Factor">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0</xdr:rowOff>
    </xdr:from>
    <xdr:to>
      <xdr:col>15</xdr:col>
      <xdr:colOff>19050</xdr:colOff>
      <xdr:row>4</xdr:row>
      <xdr:rowOff>104776</xdr:rowOff>
    </xdr:to>
    <xdr:sp macro="" textlink="">
      <xdr:nvSpPr>
        <xdr:cNvPr id="47" name="Rechteck: abgerundete Ecken 8">
          <a:extLst>
            <a:ext uri="{FF2B5EF4-FFF2-40B4-BE49-F238E27FC236}">
              <a16:creationId xmlns:a16="http://schemas.microsoft.com/office/drawing/2014/main" id="{00000000-0008-0000-1100-00002F000000}"/>
            </a:ext>
          </a:extLst>
        </xdr:cNvPr>
        <xdr:cNvSpPr/>
      </xdr:nvSpPr>
      <xdr:spPr>
        <a:xfrm>
          <a:off x="3524250" y="190500"/>
          <a:ext cx="93726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Carbon Risk</a:t>
          </a:r>
          <a:r>
            <a:rPr lang="de-DE" sz="1600" b="1" baseline="0">
              <a:solidFill>
                <a:schemeClr val="bg1"/>
              </a:solidFill>
            </a:rPr>
            <a:t> </a:t>
          </a:r>
          <a:r>
            <a:rPr lang="de-DE" sz="1600" b="1">
              <a:solidFill>
                <a:schemeClr val="bg1"/>
              </a:solidFill>
            </a:rPr>
            <a:t>Factor </a:t>
          </a:r>
          <a:r>
            <a:rPr lang="de-DE" sz="1600" b="1" i="1">
              <a:solidFill>
                <a:schemeClr val="bg1"/>
              </a:solidFill>
            </a:rPr>
            <a:t>BMG</a:t>
          </a:r>
        </a:p>
      </xdr:txBody>
    </xdr:sp>
    <xdr:clientData/>
  </xdr:twoCellAnchor>
  <xdr:twoCellAnchor>
    <xdr:from>
      <xdr:col>16</xdr:col>
      <xdr:colOff>0</xdr:colOff>
      <xdr:row>1</xdr:row>
      <xdr:rowOff>0</xdr:rowOff>
    </xdr:from>
    <xdr:to>
      <xdr:col>18</xdr:col>
      <xdr:colOff>335025</xdr:colOff>
      <xdr:row>2</xdr:row>
      <xdr:rowOff>76201</xdr:rowOff>
    </xdr:to>
    <xdr:sp macro="" textlink="">
      <xdr:nvSpPr>
        <xdr:cNvPr id="9" name="Rechteck: abgerundete Ecken 8">
          <a:hlinkClick xmlns:r="http://schemas.openxmlformats.org/officeDocument/2006/relationships" r:id="rId3"/>
          <a:extLst>
            <a:ext uri="{FF2B5EF4-FFF2-40B4-BE49-F238E27FC236}">
              <a16:creationId xmlns:a16="http://schemas.microsoft.com/office/drawing/2014/main" id="{00000000-0008-0000-1100-000009000000}"/>
            </a:ext>
          </a:extLst>
        </xdr:cNvPr>
        <xdr:cNvSpPr/>
      </xdr:nvSpPr>
      <xdr:spPr>
        <a:xfrm>
          <a:off x="13639800" y="190500"/>
          <a:ext cx="1859025"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0</xdr:colOff>
      <xdr:row>3</xdr:row>
      <xdr:rowOff>0</xdr:rowOff>
    </xdr:from>
    <xdr:to>
      <xdr:col>18</xdr:col>
      <xdr:colOff>333600</xdr:colOff>
      <xdr:row>4</xdr:row>
      <xdr:rowOff>76201</xdr:rowOff>
    </xdr:to>
    <xdr:sp macro="" textlink="">
      <xdr:nvSpPr>
        <xdr:cNvPr id="10" name="Rechteck: abgerundete Ecken 8">
          <a:hlinkClick xmlns:r="http://schemas.openxmlformats.org/officeDocument/2006/relationships" r:id="rId4"/>
          <a:extLst>
            <a:ext uri="{FF2B5EF4-FFF2-40B4-BE49-F238E27FC236}">
              <a16:creationId xmlns:a16="http://schemas.microsoft.com/office/drawing/2014/main" id="{00000000-0008-0000-1100-00000A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twoCellAnchor>
    <xdr:from>
      <xdr:col>1</xdr:col>
      <xdr:colOff>209550</xdr:colOff>
      <xdr:row>32</xdr:row>
      <xdr:rowOff>133350</xdr:rowOff>
    </xdr:from>
    <xdr:to>
      <xdr:col>10</xdr:col>
      <xdr:colOff>448235</xdr:colOff>
      <xdr:row>47</xdr:row>
      <xdr:rowOff>19050</xdr:rowOff>
    </xdr:to>
    <xdr:graphicFrame macro="">
      <xdr:nvGraphicFramePr>
        <xdr:cNvPr id="8" name="CR_Factor">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234000</xdr:colOff>
      <xdr:row>20</xdr:row>
      <xdr:rowOff>171000</xdr:rowOff>
    </xdr:to>
    <xdr:sp macro="" textlink="">
      <xdr:nvSpPr>
        <xdr:cNvPr id="2" name="Rechteck: abgerundete Ecken 2">
          <a:extLst>
            <a:ext uri="{FF2B5EF4-FFF2-40B4-BE49-F238E27FC236}">
              <a16:creationId xmlns:a16="http://schemas.microsoft.com/office/drawing/2014/main" id="{00000000-0008-0000-1200-000002000000}"/>
            </a:ext>
          </a:extLst>
        </xdr:cNvPr>
        <xdr:cNvSpPr/>
      </xdr:nvSpPr>
      <xdr:spPr>
        <a:xfrm>
          <a:off x="762000" y="38100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white"/>
              </a:solidFill>
              <a:effectLst/>
              <a:uLnTx/>
              <a:uFillTx/>
              <a:latin typeface="+mn-lt"/>
              <a:ea typeface="+mn-ea"/>
              <a:cs typeface="+mn-cs"/>
            </a:rPr>
            <a:t>Input Data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On the following sheets, you can find the input data.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The input data can be changed freely.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For any feedback or critics please contact any person named in the imprint.</a:t>
          </a:r>
        </a:p>
      </xdr:txBody>
    </xdr:sp>
    <xdr:clientData/>
  </xdr:twoCellAnchor>
  <xdr:twoCellAnchor>
    <xdr:from>
      <xdr:col>5</xdr:col>
      <xdr:colOff>0</xdr:colOff>
      <xdr:row>7</xdr:row>
      <xdr:rowOff>0</xdr:rowOff>
    </xdr:from>
    <xdr:to>
      <xdr:col>13</xdr:col>
      <xdr:colOff>657225</xdr:colOff>
      <xdr:row>8</xdr:row>
      <xdr:rowOff>76201</xdr:rowOff>
    </xdr:to>
    <xdr:sp macro="" textlink="">
      <xdr:nvSpPr>
        <xdr:cNvPr id="4" name="Rechteck: abgerundete Ecken 8">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a:off x="3810000" y="133350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Risk Factor </a:t>
          </a:r>
          <a:r>
            <a:rPr lang="de-DE" sz="1200" i="1">
              <a:solidFill>
                <a:schemeClr val="bg1"/>
              </a:solidFill>
            </a:rPr>
            <a:t>BMG</a:t>
          </a:r>
        </a:p>
        <a:p>
          <a:pPr algn="ctr"/>
          <a:endParaRPr lang="de-DE" sz="1200">
            <a:solidFill>
              <a:schemeClr val="bg1"/>
            </a:solidFill>
          </a:endParaRPr>
        </a:p>
      </xdr:txBody>
    </xdr:sp>
    <xdr:clientData/>
  </xdr:twoCellAnchor>
  <xdr:twoCellAnchor>
    <xdr:from>
      <xdr:col>8</xdr:col>
      <xdr:colOff>152400</xdr:colOff>
      <xdr:row>2</xdr:row>
      <xdr:rowOff>114300</xdr:rowOff>
    </xdr:from>
    <xdr:to>
      <xdr:col>10</xdr:col>
      <xdr:colOff>361951</xdr:colOff>
      <xdr:row>6</xdr:row>
      <xdr:rowOff>28576</xdr:rowOff>
    </xdr:to>
    <xdr:sp macro="" textlink="">
      <xdr:nvSpPr>
        <xdr:cNvPr id="5" name="Rechteck: abgerundete Ecken 8">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6248400" y="495300"/>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5</xdr:col>
      <xdr:colOff>0</xdr:colOff>
      <xdr:row>8</xdr:row>
      <xdr:rowOff>180975</xdr:rowOff>
    </xdr:from>
    <xdr:to>
      <xdr:col>13</xdr:col>
      <xdr:colOff>657225</xdr:colOff>
      <xdr:row>10</xdr:row>
      <xdr:rowOff>66676</xdr:rowOff>
    </xdr:to>
    <xdr:sp macro="" textlink="">
      <xdr:nvSpPr>
        <xdr:cNvPr id="6" name="Rechteck: abgerundete Ecken 8">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3810000" y="1704975"/>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Risk Factors</a:t>
          </a:r>
        </a:p>
      </xdr:txBody>
    </xdr:sp>
    <xdr:clientData/>
  </xdr:twoCellAnchor>
  <xdr:twoCellAnchor>
    <xdr:from>
      <xdr:col>5</xdr:col>
      <xdr:colOff>0</xdr:colOff>
      <xdr:row>10</xdr:row>
      <xdr:rowOff>171450</xdr:rowOff>
    </xdr:from>
    <xdr:to>
      <xdr:col>13</xdr:col>
      <xdr:colOff>657225</xdr:colOff>
      <xdr:row>12</xdr:row>
      <xdr:rowOff>57151</xdr:rowOff>
    </xdr:to>
    <xdr:sp macro="" textlink="">
      <xdr:nvSpPr>
        <xdr:cNvPr id="7" name="Rechteck: abgerundete Ecken 8">
          <a:hlinkClick xmlns:r="http://schemas.openxmlformats.org/officeDocument/2006/relationships" r:id="rId4"/>
          <a:extLst>
            <a:ext uri="{FF2B5EF4-FFF2-40B4-BE49-F238E27FC236}">
              <a16:creationId xmlns:a16="http://schemas.microsoft.com/office/drawing/2014/main" id="{00000000-0008-0000-1200-000007000000}"/>
            </a:ext>
          </a:extLst>
        </xdr:cNvPr>
        <xdr:cNvSpPr/>
      </xdr:nvSpPr>
      <xdr:spPr>
        <a:xfrm>
          <a:off x="3810000" y="207645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Asset Returns</a:t>
          </a:r>
        </a:p>
        <a:p>
          <a:pPr algn="ctr"/>
          <a:endParaRPr lang="de-DE" sz="1200">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2" name="Rechteck: abgerundete Ecken 2">
          <a:extLst>
            <a:ext uri="{FF2B5EF4-FFF2-40B4-BE49-F238E27FC236}">
              <a16:creationId xmlns:a16="http://schemas.microsoft.com/office/drawing/2014/main" id="{00000000-0008-0000-1300-000002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white"/>
              </a:solidFill>
              <a:effectLst/>
              <a:uLnTx/>
              <a:uFillTx/>
              <a:latin typeface="+mn-lt"/>
              <a:ea typeface="+mn-ea"/>
              <a:cs typeface="+mn-cs"/>
            </a:rPr>
            <a:t>Carbon Risk Factor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This page includes the monthly Carbon Risk Factor </a:t>
          </a:r>
          <a:r>
            <a:rPr kumimoji="0" lang="de-DE" sz="1100" b="0" i="1" u="none" strike="noStrike" kern="0" cap="none" spc="0" normalizeH="0" baseline="0" noProof="0">
              <a:ln>
                <a:noFill/>
              </a:ln>
              <a:solidFill>
                <a:prstClr val="white"/>
              </a:solidFill>
              <a:effectLst/>
              <a:uLnTx/>
              <a:uFillTx/>
              <a:latin typeface="+mn-lt"/>
              <a:ea typeface="+mn-ea"/>
              <a:cs typeface="+mn-cs"/>
            </a:rPr>
            <a:t>BMG</a:t>
          </a:r>
          <a:r>
            <a:rPr kumimoji="0" lang="de-DE" sz="1100" b="0" i="0" u="none" strike="noStrike" kern="0" cap="none" spc="0" normalizeH="0" baseline="0" noProof="0">
              <a:ln>
                <a:noFill/>
              </a:ln>
              <a:solidFill>
                <a:prstClr val="white"/>
              </a:solidFill>
              <a:effectLst/>
              <a:uLnTx/>
              <a:uFillTx/>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To update this sheet, please overwrite the column.</a:t>
          </a:r>
        </a:p>
      </xdr:txBody>
    </xdr:sp>
    <xdr:clientData/>
  </xdr:twoCellAnchor>
  <xdr:twoCellAnchor>
    <xdr:from>
      <xdr:col>0</xdr:col>
      <xdr:colOff>0</xdr:colOff>
      <xdr:row>20</xdr:row>
      <xdr:rowOff>0</xdr:rowOff>
    </xdr:from>
    <xdr:to>
      <xdr:col>3</xdr:col>
      <xdr:colOff>19051</xdr:colOff>
      <xdr:row>23</xdr:row>
      <xdr:rowOff>104776</xdr:rowOff>
    </xdr:to>
    <xdr:sp macro="" textlink="">
      <xdr:nvSpPr>
        <xdr:cNvPr id="4" name="Rechteck: abgerundete Ecken 8">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0" y="38100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5419725</xdr:colOff>
      <xdr:row>1</xdr:row>
      <xdr:rowOff>409575</xdr:rowOff>
    </xdr:from>
    <xdr:to>
      <xdr:col>3</xdr:col>
      <xdr:colOff>104776</xdr:colOff>
      <xdr:row>1</xdr:row>
      <xdr:rowOff>676276</xdr:rowOff>
    </xdr:to>
    <xdr:sp macro="" textlink="">
      <xdr:nvSpPr>
        <xdr:cNvPr id="3" name="Rechteck: abgerundete Ecken 8">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5686425" y="571500"/>
          <a:ext cx="1733551"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twoCellAnchor>
    <xdr:from>
      <xdr:col>2</xdr:col>
      <xdr:colOff>0</xdr:colOff>
      <xdr:row>1</xdr:row>
      <xdr:rowOff>0</xdr:rowOff>
    </xdr:from>
    <xdr:to>
      <xdr:col>2</xdr:col>
      <xdr:colOff>1733551</xdr:colOff>
      <xdr:row>1</xdr:row>
      <xdr:rowOff>676276</xdr:rowOff>
    </xdr:to>
    <xdr:sp macro="" textlink="">
      <xdr:nvSpPr>
        <xdr:cNvPr id="4" name="Rechteck: abgerundete Ecken 8">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266700" y="161925"/>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200">
              <a:solidFill>
                <a:schemeClr val="bg1"/>
              </a:solidFill>
            </a:rPr>
            <a:t>Back to the</a:t>
          </a:r>
        </a:p>
        <a:p>
          <a:pPr algn="ctr"/>
          <a:r>
            <a:rPr lang="de-DE" sz="1200">
              <a:solidFill>
                <a:schemeClr val="bg1"/>
              </a:solidFill>
            </a:rPr>
            <a:t>Table of</a:t>
          </a:r>
          <a:r>
            <a:rPr lang="de-DE" sz="1200" baseline="0">
              <a:solidFill>
                <a:schemeClr val="bg1"/>
              </a:solidFill>
            </a:rPr>
            <a:t> C</a:t>
          </a:r>
          <a:r>
            <a:rPr lang="de-DE" sz="1200">
              <a:solidFill>
                <a:schemeClr val="bg1"/>
              </a:solidFill>
            </a:rPr>
            <a:t>ontents</a:t>
          </a:r>
        </a:p>
      </xdr:txBody>
    </xdr:sp>
    <xdr:clientData/>
  </xdr:twoCellAnchor>
  <xdr:twoCellAnchor>
    <xdr:from>
      <xdr:col>2</xdr:col>
      <xdr:colOff>1866900</xdr:colOff>
      <xdr:row>1</xdr:row>
      <xdr:rowOff>9525</xdr:rowOff>
    </xdr:from>
    <xdr:to>
      <xdr:col>2</xdr:col>
      <xdr:colOff>5276850</xdr:colOff>
      <xdr:row>1</xdr:row>
      <xdr:rowOff>685801</xdr:rowOff>
    </xdr:to>
    <xdr:sp macro="" textlink="">
      <xdr:nvSpPr>
        <xdr:cNvPr id="5" name="Rechteck: abgerundete Ecken 8">
          <a:extLst>
            <a:ext uri="{FF2B5EF4-FFF2-40B4-BE49-F238E27FC236}">
              <a16:creationId xmlns:a16="http://schemas.microsoft.com/office/drawing/2014/main" id="{00000000-0008-0000-0100-000005000000}"/>
            </a:ext>
          </a:extLst>
        </xdr:cNvPr>
        <xdr:cNvSpPr/>
      </xdr:nvSpPr>
      <xdr:spPr>
        <a:xfrm>
          <a:off x="2133600" y="171450"/>
          <a:ext cx="340995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Information</a:t>
          </a:r>
        </a:p>
      </xdr:txBody>
    </xdr:sp>
    <xdr:clientData/>
  </xdr:twoCellAnchor>
  <xdr:twoCellAnchor editAs="oneCell">
    <xdr:from>
      <xdr:col>2</xdr:col>
      <xdr:colOff>200025</xdr:colOff>
      <xdr:row>4</xdr:row>
      <xdr:rowOff>0</xdr:rowOff>
    </xdr:from>
    <xdr:to>
      <xdr:col>2</xdr:col>
      <xdr:colOff>7019925</xdr:colOff>
      <xdr:row>27</xdr:row>
      <xdr:rowOff>133350</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srcRect l="14898" t="13050" r="10510" b="464"/>
        <a:stretch/>
      </xdr:blipFill>
      <xdr:spPr>
        <a:xfrm>
          <a:off x="466725" y="1238250"/>
          <a:ext cx="6819900" cy="86487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3" name="Rechteck: abgerundete Ecken 1">
          <a:extLst>
            <a:ext uri="{FF2B5EF4-FFF2-40B4-BE49-F238E27FC236}">
              <a16:creationId xmlns:a16="http://schemas.microsoft.com/office/drawing/2014/main" id="{00000000-0008-0000-1400-000003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white"/>
              </a:solidFill>
              <a:effectLst/>
              <a:uLnTx/>
              <a:uFillTx/>
              <a:latin typeface="+mn-lt"/>
              <a:ea typeface="+mn-ea"/>
              <a:cs typeface="+mn-cs"/>
            </a:rPr>
            <a:t>Risk Factors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This page includes monthly risk factors from the Kenneth French Database and the ICE Index Platform.</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To update this sheet, please overwrite the column.</a:t>
          </a:r>
        </a:p>
      </xdr:txBody>
    </xdr:sp>
    <xdr:clientData/>
  </xdr:twoCellAnchor>
  <xdr:twoCellAnchor>
    <xdr:from>
      <xdr:col>0</xdr:col>
      <xdr:colOff>0</xdr:colOff>
      <xdr:row>20</xdr:row>
      <xdr:rowOff>0</xdr:rowOff>
    </xdr:from>
    <xdr:to>
      <xdr:col>3</xdr:col>
      <xdr:colOff>19051</xdr:colOff>
      <xdr:row>23</xdr:row>
      <xdr:rowOff>104776</xdr:rowOff>
    </xdr:to>
    <xdr:sp macro="" textlink="">
      <xdr:nvSpPr>
        <xdr:cNvPr id="4" name="Rechteck: abgerundete Ecken 8">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0" y="38100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2" name="Rechteck: abgerundete Ecken 1">
          <a:extLst>
            <a:ext uri="{FF2B5EF4-FFF2-40B4-BE49-F238E27FC236}">
              <a16:creationId xmlns:a16="http://schemas.microsoft.com/office/drawing/2014/main" id="{00000000-0008-0000-1500-000002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white"/>
              </a:solidFill>
              <a:effectLst/>
              <a:uLnTx/>
              <a:uFillTx/>
              <a:latin typeface="+mn-lt"/>
              <a:ea typeface="+mn-ea"/>
              <a:cs typeface="+mn-cs"/>
            </a:rPr>
            <a:t>Asset Returns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This page includes monthly asset returns for different assets.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white"/>
              </a:solidFill>
              <a:effectLst/>
              <a:uLnTx/>
              <a:uFillTx/>
              <a:latin typeface="+mn-lt"/>
              <a:ea typeface="+mn-ea"/>
              <a:cs typeface="+mn-cs"/>
            </a:rPr>
            <a:t>To update this sheet, please overwrite the column.</a:t>
          </a:r>
        </a:p>
      </xdr:txBody>
    </xdr:sp>
    <xdr:clientData/>
  </xdr:twoCellAnchor>
  <xdr:twoCellAnchor>
    <xdr:from>
      <xdr:col>0</xdr:col>
      <xdr:colOff>0</xdr:colOff>
      <xdr:row>20</xdr:row>
      <xdr:rowOff>0</xdr:rowOff>
    </xdr:from>
    <xdr:to>
      <xdr:col>3</xdr:col>
      <xdr:colOff>19051</xdr:colOff>
      <xdr:row>23</xdr:row>
      <xdr:rowOff>104776</xdr:rowOff>
    </xdr:to>
    <xdr:sp macro="" textlink="">
      <xdr:nvSpPr>
        <xdr:cNvPr id="3" name="Rechteck: abgerundete Ecken 8">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0" y="38100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2" name="Rechteck: abgerundete Ecken 1">
          <a:extLst>
            <a:ext uri="{FF2B5EF4-FFF2-40B4-BE49-F238E27FC236}">
              <a16:creationId xmlns:a16="http://schemas.microsoft.com/office/drawing/2014/main" id="{00000000-0008-0000-1600-000002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Auxiliary Calculations</a:t>
          </a:r>
          <a:endParaRPr lang="de-DE">
            <a:effectLst/>
          </a:endParaRPr>
        </a:p>
        <a:p>
          <a:r>
            <a:rPr lang="de-DE" sz="1100">
              <a:solidFill>
                <a:schemeClr val="lt1"/>
              </a:solidFill>
              <a:effectLst/>
              <a:latin typeface="+mn-lt"/>
              <a:ea typeface="+mn-ea"/>
              <a:cs typeface="+mn-cs"/>
            </a:rPr>
            <a:t>for figures </a:t>
          </a:r>
          <a:endParaRPr lang="de-DE">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2" name="Rechteck: abgerundete Ecken 1">
          <a:extLst>
            <a:ext uri="{FF2B5EF4-FFF2-40B4-BE49-F238E27FC236}">
              <a16:creationId xmlns:a16="http://schemas.microsoft.com/office/drawing/2014/main" id="{00000000-0008-0000-1700-000002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Auxiliary Calculations</a:t>
          </a:r>
          <a:endParaRPr lang="de-DE">
            <a:effectLst/>
          </a:endParaRPr>
        </a:p>
        <a:p>
          <a:r>
            <a:rPr lang="de-DE" sz="1100">
              <a:solidFill>
                <a:schemeClr val="lt1"/>
              </a:solidFill>
              <a:effectLst/>
              <a:latin typeface="+mn-lt"/>
              <a:ea typeface="+mn-ea"/>
              <a:cs typeface="+mn-cs"/>
            </a:rPr>
            <a:t>for regressions</a:t>
          </a:r>
          <a:endParaRPr lang="de-DE">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2" name="Rechteck: abgerundete Ecken 1">
          <a:extLst>
            <a:ext uri="{FF2B5EF4-FFF2-40B4-BE49-F238E27FC236}">
              <a16:creationId xmlns:a16="http://schemas.microsoft.com/office/drawing/2014/main" id="{00000000-0008-0000-1800-000002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Auxiliary Calculations</a:t>
          </a:r>
          <a:endParaRPr lang="de-DE">
            <a:effectLst/>
          </a:endParaRPr>
        </a:p>
        <a:p>
          <a:r>
            <a:rPr lang="de-DE" sz="1100">
              <a:solidFill>
                <a:schemeClr val="lt1"/>
              </a:solidFill>
              <a:effectLst/>
              <a:latin typeface="+mn-lt"/>
              <a:ea typeface="+mn-ea"/>
              <a:cs typeface="+mn-cs"/>
            </a:rPr>
            <a:t>for portfolios </a:t>
          </a:r>
          <a:endParaRPr lang="de-DE">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234000</xdr:colOff>
      <xdr:row>18</xdr:row>
      <xdr:rowOff>171000</xdr:rowOff>
    </xdr:to>
    <xdr:sp macro="" textlink="">
      <xdr:nvSpPr>
        <xdr:cNvPr id="2" name="Rechteck: abgerundete Ecken 1">
          <a:extLst>
            <a:ext uri="{FF2B5EF4-FFF2-40B4-BE49-F238E27FC236}">
              <a16:creationId xmlns:a16="http://schemas.microsoft.com/office/drawing/2014/main" id="{00000000-0008-0000-1900-000002000000}"/>
            </a:ext>
          </a:extLst>
        </xdr:cNvPr>
        <xdr:cNvSpPr/>
      </xdr:nvSpPr>
      <xdr:spPr>
        <a:xfrm>
          <a:off x="0" y="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Auxiliary Calculations</a:t>
          </a:r>
          <a:endParaRPr lang="de-DE">
            <a:effectLst/>
          </a:endParaRPr>
        </a:p>
        <a:p>
          <a:r>
            <a:rPr lang="de-DE" sz="1100">
              <a:solidFill>
                <a:schemeClr val="lt1"/>
              </a:solidFill>
              <a:effectLst/>
              <a:latin typeface="+mn-lt"/>
              <a:ea typeface="+mn-ea"/>
              <a:cs typeface="+mn-cs"/>
            </a:rPr>
            <a:t>for excess returns </a:t>
          </a:r>
          <a:endParaRPr lang="de-DE">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200">
              <a:solidFill>
                <a:schemeClr val="bg1"/>
              </a:solidFill>
            </a:rPr>
            <a:t>Back to the</a:t>
          </a:r>
          <a:br>
            <a:rPr lang="de-DE" sz="1200">
              <a:solidFill>
                <a:schemeClr val="bg1"/>
              </a:solidFill>
            </a:rPr>
          </a:br>
          <a:r>
            <a:rPr lang="de-DE" sz="1200">
              <a:solidFill>
                <a:schemeClr val="bg1"/>
              </a:solidFill>
            </a:rPr>
            <a:t>Table of Contents</a:t>
          </a:r>
        </a:p>
      </xdr:txBody>
    </xdr:sp>
    <xdr:clientData/>
  </xdr:twoCellAnchor>
  <xdr:twoCellAnchor>
    <xdr:from>
      <xdr:col>4</xdr:col>
      <xdr:colOff>0</xdr:colOff>
      <xdr:row>1</xdr:row>
      <xdr:rowOff>0</xdr:rowOff>
    </xdr:from>
    <xdr:to>
      <xdr:col>15</xdr:col>
      <xdr:colOff>19050</xdr:colOff>
      <xdr:row>4</xdr:row>
      <xdr:rowOff>104776</xdr:rowOff>
    </xdr:to>
    <xdr:sp macro="" textlink="">
      <xdr:nvSpPr>
        <xdr:cNvPr id="3" name="Rechteck: abgerundete Ecken 8">
          <a:extLst>
            <a:ext uri="{FF2B5EF4-FFF2-40B4-BE49-F238E27FC236}">
              <a16:creationId xmlns:a16="http://schemas.microsoft.com/office/drawing/2014/main" id="{00000000-0008-0000-1A00-000003000000}"/>
            </a:ext>
          </a:extLst>
        </xdr:cNvPr>
        <xdr:cNvSpPr/>
      </xdr:nvSpPr>
      <xdr:spPr>
        <a:xfrm>
          <a:off x="3524250" y="190500"/>
          <a:ext cx="93726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Sectors</a:t>
          </a:r>
        </a:p>
      </xdr:txBody>
    </xdr:sp>
    <xdr:clientData/>
  </xdr:twoCellAnchor>
  <xdr:twoCellAnchor>
    <xdr:from>
      <xdr:col>16</xdr:col>
      <xdr:colOff>0</xdr:colOff>
      <xdr:row>1</xdr:row>
      <xdr:rowOff>0</xdr:rowOff>
    </xdr:from>
    <xdr:to>
      <xdr:col>18</xdr:col>
      <xdr:colOff>335025</xdr:colOff>
      <xdr:row>2</xdr:row>
      <xdr:rowOff>76201</xdr:rowOff>
    </xdr:to>
    <xdr:sp macro="" textlink="">
      <xdr:nvSpPr>
        <xdr:cNvPr id="4" name="Rechteck: abgerundete Ecken 8">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13639800" y="190500"/>
          <a:ext cx="1859025"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0</xdr:colOff>
      <xdr:row>3</xdr:row>
      <xdr:rowOff>0</xdr:rowOff>
    </xdr:from>
    <xdr:to>
      <xdr:col>18</xdr:col>
      <xdr:colOff>333600</xdr:colOff>
      <xdr:row>4</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5419725</xdr:colOff>
      <xdr:row>1</xdr:row>
      <xdr:rowOff>28575</xdr:rowOff>
    </xdr:from>
    <xdr:to>
      <xdr:col>3</xdr:col>
      <xdr:colOff>104776</xdr:colOff>
      <xdr:row>1</xdr:row>
      <xdr:rowOff>295276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686425" y="190500"/>
          <a:ext cx="1733551"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2</xdr:col>
      <xdr:colOff>0</xdr:colOff>
      <xdr:row>1</xdr:row>
      <xdr:rowOff>0</xdr:rowOff>
    </xdr:from>
    <xdr:to>
      <xdr:col>2</xdr:col>
      <xdr:colOff>1733551</xdr:colOff>
      <xdr:row>1</xdr:row>
      <xdr:rowOff>676276</xdr:rowOff>
    </xdr:to>
    <xdr:sp macro="" textlink="">
      <xdr:nvSpPr>
        <xdr:cNvPr id="4" name="Rechteck: abgerundete Ecken 8">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266700" y="161925"/>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200">
              <a:solidFill>
                <a:schemeClr val="lt1"/>
              </a:solidFill>
              <a:effectLst/>
              <a:latin typeface="+mn-lt"/>
              <a:ea typeface="+mn-ea"/>
              <a:cs typeface="+mn-cs"/>
            </a:rPr>
            <a:t>Back to the</a:t>
          </a:r>
          <a:endParaRPr lang="de-DE" sz="1200">
            <a:effectLst/>
          </a:endParaRPr>
        </a:p>
        <a:p>
          <a:pPr algn="ctr"/>
          <a:r>
            <a:rPr lang="de-DE" sz="1200">
              <a:solidFill>
                <a:schemeClr val="lt1"/>
              </a:solidFill>
              <a:effectLst/>
              <a:latin typeface="+mn-lt"/>
              <a:ea typeface="+mn-ea"/>
              <a:cs typeface="+mn-cs"/>
            </a:rPr>
            <a:t>Table of</a:t>
          </a:r>
          <a:r>
            <a:rPr lang="de-DE" sz="1200" baseline="0">
              <a:solidFill>
                <a:schemeClr val="lt1"/>
              </a:solidFill>
              <a:effectLst/>
              <a:latin typeface="+mn-lt"/>
              <a:ea typeface="+mn-ea"/>
              <a:cs typeface="+mn-cs"/>
            </a:rPr>
            <a:t> C</a:t>
          </a:r>
          <a:r>
            <a:rPr lang="de-DE" sz="1200">
              <a:solidFill>
                <a:schemeClr val="lt1"/>
              </a:solidFill>
              <a:effectLst/>
              <a:latin typeface="+mn-lt"/>
              <a:ea typeface="+mn-ea"/>
              <a:cs typeface="+mn-cs"/>
            </a:rPr>
            <a:t>ontents</a:t>
          </a:r>
          <a:endParaRPr lang="de-DE" sz="1200">
            <a:effectLst/>
          </a:endParaRPr>
        </a:p>
      </xdr:txBody>
    </xdr:sp>
    <xdr:clientData/>
  </xdr:twoCellAnchor>
  <xdr:twoCellAnchor>
    <xdr:from>
      <xdr:col>2</xdr:col>
      <xdr:colOff>1866900</xdr:colOff>
      <xdr:row>1</xdr:row>
      <xdr:rowOff>9525</xdr:rowOff>
    </xdr:from>
    <xdr:to>
      <xdr:col>2</xdr:col>
      <xdr:colOff>5276850</xdr:colOff>
      <xdr:row>1</xdr:row>
      <xdr:rowOff>685801</xdr:rowOff>
    </xdr:to>
    <xdr:sp macro="" textlink="">
      <xdr:nvSpPr>
        <xdr:cNvPr id="5" name="Rechteck: abgerundete Ecken 8">
          <a:extLst>
            <a:ext uri="{FF2B5EF4-FFF2-40B4-BE49-F238E27FC236}">
              <a16:creationId xmlns:a16="http://schemas.microsoft.com/office/drawing/2014/main" id="{00000000-0008-0000-0200-000005000000}"/>
            </a:ext>
          </a:extLst>
        </xdr:cNvPr>
        <xdr:cNvSpPr/>
      </xdr:nvSpPr>
      <xdr:spPr>
        <a:xfrm>
          <a:off x="2133600" y="171450"/>
          <a:ext cx="340995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Imprint</a:t>
          </a:r>
        </a:p>
      </xdr:txBody>
    </xdr:sp>
    <xdr:clientData/>
  </xdr:twoCellAnchor>
  <xdr:twoCellAnchor>
    <xdr:from>
      <xdr:col>2</xdr:col>
      <xdr:colOff>1733550</xdr:colOff>
      <xdr:row>10</xdr:row>
      <xdr:rowOff>133350</xdr:rowOff>
    </xdr:from>
    <xdr:to>
      <xdr:col>2</xdr:col>
      <xdr:colOff>4848225</xdr:colOff>
      <xdr:row>12</xdr:row>
      <xdr:rowOff>40350</xdr:rowOff>
    </xdr:to>
    <xdr:sp macro="" textlink="">
      <xdr:nvSpPr>
        <xdr:cNvPr id="6" name="Rechteck: abgerundete Ecken 8">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2000250" y="3276600"/>
          <a:ext cx="3114675" cy="2880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marco.wilkens@wiwi.uni-augsburg.de</a:t>
          </a:r>
        </a:p>
      </xdr:txBody>
    </xdr:sp>
    <xdr:clientData/>
  </xdr:twoCellAnchor>
  <xdr:twoCellAnchor>
    <xdr:from>
      <xdr:col>2</xdr:col>
      <xdr:colOff>1733550</xdr:colOff>
      <xdr:row>12</xdr:row>
      <xdr:rowOff>130175</xdr:rowOff>
    </xdr:from>
    <xdr:to>
      <xdr:col>2</xdr:col>
      <xdr:colOff>4848225</xdr:colOff>
      <xdr:row>12</xdr:row>
      <xdr:rowOff>418175</xdr:rowOff>
    </xdr:to>
    <xdr:sp macro="" textlink="">
      <xdr:nvSpPr>
        <xdr:cNvPr id="7" name="Rechteck: abgerundete Ecken 8">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2000250" y="3654425"/>
          <a:ext cx="3114675" cy="2880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martin.nerlinger@wiwi.uni-augsburg.de</a:t>
          </a:r>
        </a:p>
      </xdr:txBody>
    </xdr:sp>
    <xdr:clientData/>
  </xdr:twoCellAnchor>
  <xdr:twoCellAnchor>
    <xdr:from>
      <xdr:col>2</xdr:col>
      <xdr:colOff>1733550</xdr:colOff>
      <xdr:row>12</xdr:row>
      <xdr:rowOff>508000</xdr:rowOff>
    </xdr:from>
    <xdr:to>
      <xdr:col>2</xdr:col>
      <xdr:colOff>4848225</xdr:colOff>
      <xdr:row>12</xdr:row>
      <xdr:rowOff>796000</xdr:rowOff>
    </xdr:to>
    <xdr:sp macro="" textlink="">
      <xdr:nvSpPr>
        <xdr:cNvPr id="8" name="Rechteck: abgerundete Ecken 8">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2000250" y="4032250"/>
          <a:ext cx="3114675" cy="2880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andrea.jacob@wiwi.uni-augsburg.de</a:t>
          </a:r>
        </a:p>
      </xdr:txBody>
    </xdr:sp>
    <xdr:clientData/>
  </xdr:twoCellAnchor>
  <xdr:twoCellAnchor>
    <xdr:from>
      <xdr:col>2</xdr:col>
      <xdr:colOff>1733550</xdr:colOff>
      <xdr:row>12</xdr:row>
      <xdr:rowOff>885825</xdr:rowOff>
    </xdr:from>
    <xdr:to>
      <xdr:col>2</xdr:col>
      <xdr:colOff>4848225</xdr:colOff>
      <xdr:row>14</xdr:row>
      <xdr:rowOff>68925</xdr:rowOff>
    </xdr:to>
    <xdr:sp macro="" textlink="">
      <xdr:nvSpPr>
        <xdr:cNvPr id="9" name="Rechteck: abgerundete Ecken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2000250" y="4410075"/>
          <a:ext cx="3114675" cy="2880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maximilian.goergen@wiwi.uni-augsburg.de</a:t>
          </a:r>
        </a:p>
      </xdr:txBody>
    </xdr:sp>
    <xdr:clientData/>
  </xdr:twoCellAnchor>
  <xdr:twoCellAnchor>
    <xdr:from>
      <xdr:col>2</xdr:col>
      <xdr:colOff>1734225</xdr:colOff>
      <xdr:row>17</xdr:row>
      <xdr:rowOff>142874</xdr:rowOff>
    </xdr:from>
    <xdr:to>
      <xdr:col>2</xdr:col>
      <xdr:colOff>4848225</xdr:colOff>
      <xdr:row>19</xdr:row>
      <xdr:rowOff>49874</xdr:rowOff>
    </xdr:to>
    <xdr:sp macro="" textlink="">
      <xdr:nvSpPr>
        <xdr:cNvPr id="13" name="Rechteck: abgerundete Ecken 8">
          <a:hlinkClick xmlns:r="http://schemas.openxmlformats.org/officeDocument/2006/relationships" r:id="rId7"/>
          <a:extLst>
            <a:ext uri="{FF2B5EF4-FFF2-40B4-BE49-F238E27FC236}">
              <a16:creationId xmlns:a16="http://schemas.microsoft.com/office/drawing/2014/main" id="{00000000-0008-0000-0200-00000D000000}"/>
            </a:ext>
          </a:extLst>
        </xdr:cNvPr>
        <xdr:cNvSpPr/>
      </xdr:nvSpPr>
      <xdr:spPr>
        <a:xfrm>
          <a:off x="2000925" y="5534024"/>
          <a:ext cx="3114000" cy="2880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ohlsen@vfu.de</a:t>
          </a:r>
        </a:p>
      </xdr:txBody>
    </xdr:sp>
    <xdr:clientData/>
  </xdr:twoCellAnchor>
  <xdr:twoCellAnchor>
    <xdr:from>
      <xdr:col>2</xdr:col>
      <xdr:colOff>1734225</xdr:colOff>
      <xdr:row>19</xdr:row>
      <xdr:rowOff>138112</xdr:rowOff>
    </xdr:from>
    <xdr:to>
      <xdr:col>2</xdr:col>
      <xdr:colOff>4848225</xdr:colOff>
      <xdr:row>19</xdr:row>
      <xdr:rowOff>426112</xdr:rowOff>
    </xdr:to>
    <xdr:sp macro="" textlink="">
      <xdr:nvSpPr>
        <xdr:cNvPr id="14" name="Rechteck: abgerundete Ecken 8">
          <a:hlinkClick xmlns:r="http://schemas.openxmlformats.org/officeDocument/2006/relationships" r:id="rId8"/>
          <a:extLst>
            <a:ext uri="{FF2B5EF4-FFF2-40B4-BE49-F238E27FC236}">
              <a16:creationId xmlns:a16="http://schemas.microsoft.com/office/drawing/2014/main" id="{00000000-0008-0000-0200-00000E000000}"/>
            </a:ext>
          </a:extLst>
        </xdr:cNvPr>
        <xdr:cNvSpPr/>
      </xdr:nvSpPr>
      <xdr:spPr>
        <a:xfrm>
          <a:off x="2000925" y="5910262"/>
          <a:ext cx="3114000" cy="288000"/>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remer@vfu.de</a:t>
          </a:r>
        </a:p>
      </xdr:txBody>
    </xdr:sp>
    <xdr:clientData/>
  </xdr:twoCellAnchor>
  <xdr:twoCellAnchor editAs="oneCell">
    <xdr:from>
      <xdr:col>4</xdr:col>
      <xdr:colOff>352425</xdr:colOff>
      <xdr:row>6</xdr:row>
      <xdr:rowOff>19050</xdr:rowOff>
    </xdr:from>
    <xdr:to>
      <xdr:col>5</xdr:col>
      <xdr:colOff>2066925</xdr:colOff>
      <xdr:row>9</xdr:row>
      <xdr:rowOff>30480</xdr:rowOff>
    </xdr:to>
    <xdr:pic>
      <xdr:nvPicPr>
        <xdr:cNvPr id="12" name="Grafik 11" descr="Uni_Aug_Logo_WWF_RGB">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403" t="4306" r="10463" b="53192"/>
        <a:stretch>
          <a:fillRect/>
        </a:stretch>
      </xdr:blipFill>
      <xdr:spPr bwMode="auto">
        <a:xfrm>
          <a:off x="7800975" y="2400300"/>
          <a:ext cx="2476500" cy="582930"/>
        </a:xfrm>
        <a:prstGeom prst="rect">
          <a:avLst/>
        </a:prstGeom>
        <a:noFill/>
      </xdr:spPr>
    </xdr:pic>
    <xdr:clientData/>
  </xdr:twoCellAnchor>
  <xdr:twoCellAnchor editAs="oneCell">
    <xdr:from>
      <xdr:col>4</xdr:col>
      <xdr:colOff>352425</xdr:colOff>
      <xdr:row>15</xdr:row>
      <xdr:rowOff>9525</xdr:rowOff>
    </xdr:from>
    <xdr:to>
      <xdr:col>5</xdr:col>
      <xdr:colOff>1789963</xdr:colOff>
      <xdr:row>18</xdr:row>
      <xdr:rowOff>43180</xdr:rowOff>
    </xdr:to>
    <xdr:pic>
      <xdr:nvPicPr>
        <xdr:cNvPr id="16" name="Grafik 15" descr="C:\Users\goergema\Nextcloud\7 Kommunikation\Logos\1) VfU\logo_name\logo_name_re\vfu_logo_name_re.png">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800975" y="4829175"/>
          <a:ext cx="2199538" cy="605155"/>
        </a:xfrm>
        <a:prstGeom prst="rect">
          <a:avLst/>
        </a:prstGeom>
        <a:noFill/>
        <a:ln>
          <a:noFill/>
        </a:ln>
      </xdr:spPr>
    </xdr:pic>
    <xdr:clientData/>
  </xdr:twoCellAnchor>
  <xdr:twoCellAnchor editAs="oneCell">
    <xdr:from>
      <xdr:col>4</xdr:col>
      <xdr:colOff>676275</xdr:colOff>
      <xdr:row>22</xdr:row>
      <xdr:rowOff>85725</xdr:rowOff>
    </xdr:from>
    <xdr:to>
      <xdr:col>5</xdr:col>
      <xdr:colOff>1423112</xdr:colOff>
      <xdr:row>27</xdr:row>
      <xdr:rowOff>12065</xdr:rowOff>
    </xdr:to>
    <xdr:pic>
      <xdr:nvPicPr>
        <xdr:cNvPr id="17" name="Grafik 16" descr="C:\Users\goergema\Google Drive\CARIMA working\80_Projektintern\200_Handbuch\Layout &amp; Druck\Logos\BMBF\BMBF_gefördert vom_deutsch.jpg">
          <a:extLst>
            <a:ext uri="{FF2B5EF4-FFF2-40B4-BE49-F238E27FC236}">
              <a16:creationId xmlns:a16="http://schemas.microsoft.com/office/drawing/2014/main" id="{00000000-0008-0000-0200-00001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124825" y="6772275"/>
          <a:ext cx="1508837" cy="10693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234000</xdr:colOff>
      <xdr:row>20</xdr:row>
      <xdr:rowOff>171000</xdr:rowOff>
    </xdr:to>
    <xdr:sp macro="" textlink="">
      <xdr:nvSpPr>
        <xdr:cNvPr id="2" name="Rechteck: abgerundete Ecken 2">
          <a:extLst>
            <a:ext uri="{FF2B5EF4-FFF2-40B4-BE49-F238E27FC236}">
              <a16:creationId xmlns:a16="http://schemas.microsoft.com/office/drawing/2014/main" id="{00000000-0008-0000-0300-000002000000}"/>
            </a:ext>
          </a:extLst>
        </xdr:cNvPr>
        <xdr:cNvSpPr/>
      </xdr:nvSpPr>
      <xdr:spPr>
        <a:xfrm>
          <a:off x="762000" y="38100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Chapter 3:</a:t>
          </a:r>
          <a:endParaRPr lang="de-DE">
            <a:effectLst/>
          </a:endParaRPr>
        </a:p>
        <a:p>
          <a:r>
            <a:rPr lang="de-DE" sz="1100">
              <a:solidFill>
                <a:schemeClr val="lt1"/>
              </a:solidFill>
              <a:effectLst/>
              <a:latin typeface="+mn-lt"/>
              <a:ea typeface="+mn-ea"/>
              <a:cs typeface="+mn-cs"/>
            </a:rPr>
            <a:t>On the following</a:t>
          </a:r>
          <a:r>
            <a:rPr lang="de-DE" sz="1100" baseline="0">
              <a:solidFill>
                <a:schemeClr val="lt1"/>
              </a:solidFill>
              <a:effectLst/>
              <a:latin typeface="+mn-lt"/>
              <a:ea typeface="+mn-ea"/>
              <a:cs typeface="+mn-cs"/>
            </a:rPr>
            <a:t> sheets, you can find exemplary applications on how to quantify carbon beta in different asset classes.</a:t>
          </a:r>
          <a:endParaRPr lang="de-DE">
            <a:effectLst/>
          </a:endParaRPr>
        </a:p>
      </xdr:txBody>
    </xdr:sp>
    <xdr:clientData/>
  </xdr:twoCellAnchor>
  <xdr:twoCellAnchor>
    <xdr:from>
      <xdr:col>5</xdr:col>
      <xdr:colOff>0</xdr:colOff>
      <xdr:row>7</xdr:row>
      <xdr:rowOff>0</xdr:rowOff>
    </xdr:from>
    <xdr:to>
      <xdr:col>13</xdr:col>
      <xdr:colOff>657225</xdr:colOff>
      <xdr:row>8</xdr:row>
      <xdr:rowOff>76201</xdr:rowOff>
    </xdr:to>
    <xdr:sp macro="" textlink="">
      <xdr:nvSpPr>
        <xdr:cNvPr id="7" name="Rechteck: abgerundete Ecken 8">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3810000" y="133350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Equity</a:t>
          </a:r>
        </a:p>
        <a:p>
          <a:pPr algn="ctr"/>
          <a:endParaRPr lang="de-DE" sz="1200">
            <a:solidFill>
              <a:schemeClr val="bg1"/>
            </a:solidFill>
          </a:endParaRPr>
        </a:p>
      </xdr:txBody>
    </xdr:sp>
    <xdr:clientData/>
  </xdr:twoCellAnchor>
  <xdr:twoCellAnchor>
    <xdr:from>
      <xdr:col>5</xdr:col>
      <xdr:colOff>0</xdr:colOff>
      <xdr:row>8</xdr:row>
      <xdr:rowOff>179161</xdr:rowOff>
    </xdr:from>
    <xdr:to>
      <xdr:col>13</xdr:col>
      <xdr:colOff>657225</xdr:colOff>
      <xdr:row>10</xdr:row>
      <xdr:rowOff>66223</xdr:rowOff>
    </xdr:to>
    <xdr:sp macro="" textlink="">
      <xdr:nvSpPr>
        <xdr:cNvPr id="8" name="Rechteck: abgerundete Ecken 8">
          <a:hlinkClick xmlns:r="http://schemas.openxmlformats.org/officeDocument/2006/relationships" r:id="rId2"/>
          <a:extLst>
            <a:ext uri="{FF2B5EF4-FFF2-40B4-BE49-F238E27FC236}">
              <a16:creationId xmlns:a16="http://schemas.microsoft.com/office/drawing/2014/main" id="{00000000-0008-0000-0300-000008000000}"/>
            </a:ext>
          </a:extLst>
        </xdr:cNvPr>
        <xdr:cNvSpPr/>
      </xdr:nvSpPr>
      <xdr:spPr>
        <a:xfrm>
          <a:off x="3810000" y="1703161"/>
          <a:ext cx="6753225" cy="268062"/>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Bonds</a:t>
          </a:r>
        </a:p>
      </xdr:txBody>
    </xdr:sp>
    <xdr:clientData/>
  </xdr:twoCellAnchor>
  <xdr:twoCellAnchor>
    <xdr:from>
      <xdr:col>5</xdr:col>
      <xdr:colOff>0</xdr:colOff>
      <xdr:row>10</xdr:row>
      <xdr:rowOff>169183</xdr:rowOff>
    </xdr:from>
    <xdr:to>
      <xdr:col>13</xdr:col>
      <xdr:colOff>657225</xdr:colOff>
      <xdr:row>12</xdr:row>
      <xdr:rowOff>54884</xdr:rowOff>
    </xdr:to>
    <xdr:sp macro="" textlink="">
      <xdr:nvSpPr>
        <xdr:cNvPr id="9" name="Rechteck: abgerundete Ecken 8">
          <a:hlinkClick xmlns:r="http://schemas.openxmlformats.org/officeDocument/2006/relationships" r:id="rId3"/>
          <a:extLst>
            <a:ext uri="{FF2B5EF4-FFF2-40B4-BE49-F238E27FC236}">
              <a16:creationId xmlns:a16="http://schemas.microsoft.com/office/drawing/2014/main" id="{00000000-0008-0000-0300-000009000000}"/>
            </a:ext>
          </a:extLst>
        </xdr:cNvPr>
        <xdr:cNvSpPr/>
      </xdr:nvSpPr>
      <xdr:spPr>
        <a:xfrm>
          <a:off x="3810000" y="2074183"/>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Portfolios</a:t>
          </a:r>
        </a:p>
      </xdr:txBody>
    </xdr:sp>
    <xdr:clientData/>
  </xdr:twoCellAnchor>
  <xdr:twoCellAnchor>
    <xdr:from>
      <xdr:col>5</xdr:col>
      <xdr:colOff>0</xdr:colOff>
      <xdr:row>12</xdr:row>
      <xdr:rowOff>157843</xdr:rowOff>
    </xdr:from>
    <xdr:to>
      <xdr:col>13</xdr:col>
      <xdr:colOff>657225</xdr:colOff>
      <xdr:row>14</xdr:row>
      <xdr:rowOff>43544</xdr:rowOff>
    </xdr:to>
    <xdr:sp macro="" textlink="">
      <xdr:nvSpPr>
        <xdr:cNvPr id="10" name="Rechteck: abgerundete Ecken 8">
          <a:hlinkClick xmlns:r="http://schemas.openxmlformats.org/officeDocument/2006/relationships" r:id="rId4"/>
          <a:extLst>
            <a:ext uri="{FF2B5EF4-FFF2-40B4-BE49-F238E27FC236}">
              <a16:creationId xmlns:a16="http://schemas.microsoft.com/office/drawing/2014/main" id="{00000000-0008-0000-0300-00000A000000}"/>
            </a:ext>
          </a:extLst>
        </xdr:cNvPr>
        <xdr:cNvSpPr/>
      </xdr:nvSpPr>
      <xdr:spPr>
        <a:xfrm>
          <a:off x="3810000" y="2443843"/>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Funds</a:t>
          </a:r>
        </a:p>
      </xdr:txBody>
    </xdr:sp>
    <xdr:clientData/>
  </xdr:twoCellAnchor>
  <xdr:twoCellAnchor>
    <xdr:from>
      <xdr:col>8</xdr:col>
      <xdr:colOff>152400</xdr:colOff>
      <xdr:row>2</xdr:row>
      <xdr:rowOff>114300</xdr:rowOff>
    </xdr:from>
    <xdr:to>
      <xdr:col>10</xdr:col>
      <xdr:colOff>361951</xdr:colOff>
      <xdr:row>6</xdr:row>
      <xdr:rowOff>28576</xdr:rowOff>
    </xdr:to>
    <xdr:sp macro="" textlink="">
      <xdr:nvSpPr>
        <xdr:cNvPr id="11" name="Rechteck: abgerundete Ecken 8">
          <a:hlinkClick xmlns:r="http://schemas.openxmlformats.org/officeDocument/2006/relationships" r:id="rId5"/>
          <a:extLst>
            <a:ext uri="{FF2B5EF4-FFF2-40B4-BE49-F238E27FC236}">
              <a16:creationId xmlns:a16="http://schemas.microsoft.com/office/drawing/2014/main" id="{00000000-0008-0000-0300-00000B000000}"/>
            </a:ext>
          </a:extLst>
        </xdr:cNvPr>
        <xdr:cNvSpPr/>
      </xdr:nvSpPr>
      <xdr:spPr>
        <a:xfrm>
          <a:off x="6248400" y="495300"/>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4" name="Rechteck: abgerundete Ecken 8">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1</xdr:col>
      <xdr:colOff>201707</xdr:colOff>
      <xdr:row>17</xdr:row>
      <xdr:rowOff>163603</xdr:rowOff>
    </xdr:from>
    <xdr:to>
      <xdr:col>10</xdr:col>
      <xdr:colOff>268942</xdr:colOff>
      <xdr:row>44</xdr:row>
      <xdr:rowOff>110936</xdr:rowOff>
    </xdr:to>
    <xdr:graphicFrame macro="">
      <xdr:nvGraphicFramePr>
        <xdr:cNvPr id="5" name="CR_Factor">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0</xdr:rowOff>
    </xdr:from>
    <xdr:to>
      <xdr:col>15</xdr:col>
      <xdr:colOff>19050</xdr:colOff>
      <xdr:row>4</xdr:row>
      <xdr:rowOff>104776</xdr:rowOff>
    </xdr:to>
    <xdr:sp macro="" textlink="">
      <xdr:nvSpPr>
        <xdr:cNvPr id="7" name="Rechteck: abgerundete Ecken 8">
          <a:extLst>
            <a:ext uri="{FF2B5EF4-FFF2-40B4-BE49-F238E27FC236}">
              <a16:creationId xmlns:a16="http://schemas.microsoft.com/office/drawing/2014/main" id="{00000000-0008-0000-0500-000007000000}"/>
            </a:ext>
          </a:extLst>
        </xdr:cNvPr>
        <xdr:cNvSpPr/>
      </xdr:nvSpPr>
      <xdr:spPr>
        <a:xfrm>
          <a:off x="3524250" y="190500"/>
          <a:ext cx="93726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Equity</a:t>
          </a:r>
        </a:p>
      </xdr:txBody>
    </xdr:sp>
    <xdr:clientData/>
  </xdr:twoCellAnchor>
  <xdr:twoCellAnchor>
    <xdr:from>
      <xdr:col>16</xdr:col>
      <xdr:colOff>0</xdr:colOff>
      <xdr:row>1</xdr:row>
      <xdr:rowOff>0</xdr:rowOff>
    </xdr:from>
    <xdr:to>
      <xdr:col>18</xdr:col>
      <xdr:colOff>335025</xdr:colOff>
      <xdr:row>2</xdr:row>
      <xdr:rowOff>76201</xdr:rowOff>
    </xdr:to>
    <xdr:sp macro="" textlink="">
      <xdr:nvSpPr>
        <xdr:cNvPr id="19" name="Rechteck: abgerundete Ecken 8">
          <a:hlinkClick xmlns:r="http://schemas.openxmlformats.org/officeDocument/2006/relationships" r:id="rId3"/>
          <a:extLst>
            <a:ext uri="{FF2B5EF4-FFF2-40B4-BE49-F238E27FC236}">
              <a16:creationId xmlns:a16="http://schemas.microsoft.com/office/drawing/2014/main" id="{00000000-0008-0000-0500-000013000000}"/>
            </a:ext>
          </a:extLst>
        </xdr:cNvPr>
        <xdr:cNvSpPr/>
      </xdr:nvSpPr>
      <xdr:spPr>
        <a:xfrm>
          <a:off x="13639800" y="190500"/>
          <a:ext cx="1859025"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0</xdr:colOff>
      <xdr:row>3</xdr:row>
      <xdr:rowOff>0</xdr:rowOff>
    </xdr:from>
    <xdr:to>
      <xdr:col>18</xdr:col>
      <xdr:colOff>333600</xdr:colOff>
      <xdr:row>4</xdr:row>
      <xdr:rowOff>76201</xdr:rowOff>
    </xdr:to>
    <xdr:sp macro="" textlink="">
      <xdr:nvSpPr>
        <xdr:cNvPr id="20" name="Rechteck: abgerundete Ecken 8">
          <a:hlinkClick xmlns:r="http://schemas.openxmlformats.org/officeDocument/2006/relationships" r:id="rId4"/>
          <a:extLst>
            <a:ext uri="{FF2B5EF4-FFF2-40B4-BE49-F238E27FC236}">
              <a16:creationId xmlns:a16="http://schemas.microsoft.com/office/drawing/2014/main" id="{00000000-0008-0000-0500-000014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1</xdr:col>
      <xdr:colOff>221413</xdr:colOff>
      <xdr:row>17</xdr:row>
      <xdr:rowOff>157034</xdr:rowOff>
    </xdr:from>
    <xdr:to>
      <xdr:col>7</xdr:col>
      <xdr:colOff>742949</xdr:colOff>
      <xdr:row>44</xdr:row>
      <xdr:rowOff>104367</xdr:rowOff>
    </xdr:to>
    <xdr:graphicFrame macro="">
      <xdr:nvGraphicFramePr>
        <xdr:cNvPr id="3" name="CR_Factor">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0</xdr:rowOff>
    </xdr:from>
    <xdr:to>
      <xdr:col>15</xdr:col>
      <xdr:colOff>19050</xdr:colOff>
      <xdr:row>4</xdr:row>
      <xdr:rowOff>104776</xdr:rowOff>
    </xdr:to>
    <xdr:sp macro="" textlink="">
      <xdr:nvSpPr>
        <xdr:cNvPr id="4" name="Rechteck: abgerundete Ecken 8">
          <a:extLst>
            <a:ext uri="{FF2B5EF4-FFF2-40B4-BE49-F238E27FC236}">
              <a16:creationId xmlns:a16="http://schemas.microsoft.com/office/drawing/2014/main" id="{00000000-0008-0000-0600-000004000000}"/>
            </a:ext>
          </a:extLst>
        </xdr:cNvPr>
        <xdr:cNvSpPr/>
      </xdr:nvSpPr>
      <xdr:spPr>
        <a:xfrm>
          <a:off x="3524250" y="190500"/>
          <a:ext cx="93726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Bonds</a:t>
          </a:r>
        </a:p>
      </xdr:txBody>
    </xdr:sp>
    <xdr:clientData/>
  </xdr:twoCellAnchor>
  <xdr:twoCellAnchor>
    <xdr:from>
      <xdr:col>15</xdr:col>
      <xdr:colOff>761999</xdr:colOff>
      <xdr:row>1</xdr:row>
      <xdr:rowOff>0</xdr:rowOff>
    </xdr:from>
    <xdr:to>
      <xdr:col>18</xdr:col>
      <xdr:colOff>380399</xdr:colOff>
      <xdr:row>2</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13639799" y="190500"/>
          <a:ext cx="19044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0</xdr:colOff>
      <xdr:row>3</xdr:row>
      <xdr:rowOff>0</xdr:rowOff>
    </xdr:from>
    <xdr:to>
      <xdr:col>18</xdr:col>
      <xdr:colOff>380400</xdr:colOff>
      <xdr:row>4</xdr:row>
      <xdr:rowOff>76201</xdr:rowOff>
    </xdr:to>
    <xdr:sp macro="" textlink="">
      <xdr:nvSpPr>
        <xdr:cNvPr id="6" name="Rechteck: abgerundete Ecken 8">
          <a:hlinkClick xmlns:r="http://schemas.openxmlformats.org/officeDocument/2006/relationships" r:id="rId4"/>
          <a:extLst>
            <a:ext uri="{FF2B5EF4-FFF2-40B4-BE49-F238E27FC236}">
              <a16:creationId xmlns:a16="http://schemas.microsoft.com/office/drawing/2014/main" id="{00000000-0008-0000-0600-000006000000}"/>
            </a:ext>
          </a:extLst>
        </xdr:cNvPr>
        <xdr:cNvSpPr/>
      </xdr:nvSpPr>
      <xdr:spPr>
        <a:xfrm>
          <a:off x="13639800" y="571500"/>
          <a:ext cx="19044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1</xdr:col>
      <xdr:colOff>201707</xdr:colOff>
      <xdr:row>17</xdr:row>
      <xdr:rowOff>163603</xdr:rowOff>
    </xdr:from>
    <xdr:to>
      <xdr:col>10</xdr:col>
      <xdr:colOff>268942</xdr:colOff>
      <xdr:row>44</xdr:row>
      <xdr:rowOff>110936</xdr:rowOff>
    </xdr:to>
    <xdr:graphicFrame macro="">
      <xdr:nvGraphicFramePr>
        <xdr:cNvPr id="3" name="CR_Factor">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0</xdr:rowOff>
    </xdr:from>
    <xdr:to>
      <xdr:col>14</xdr:col>
      <xdr:colOff>716175</xdr:colOff>
      <xdr:row>4</xdr:row>
      <xdr:rowOff>104776</xdr:rowOff>
    </xdr:to>
    <xdr:sp macro="" textlink="">
      <xdr:nvSpPr>
        <xdr:cNvPr id="4" name="Rechteck: abgerundete Ecken 8">
          <a:extLst>
            <a:ext uri="{FF2B5EF4-FFF2-40B4-BE49-F238E27FC236}">
              <a16:creationId xmlns:a16="http://schemas.microsoft.com/office/drawing/2014/main" id="{00000000-0008-0000-0700-000004000000}"/>
            </a:ext>
          </a:extLst>
        </xdr:cNvPr>
        <xdr:cNvSpPr/>
      </xdr:nvSpPr>
      <xdr:spPr>
        <a:xfrm>
          <a:off x="3524250" y="190500"/>
          <a:ext cx="93744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Portfolios</a:t>
          </a:r>
        </a:p>
      </xdr:txBody>
    </xdr:sp>
    <xdr:clientData/>
  </xdr:twoCellAnchor>
  <xdr:twoCellAnchor>
    <xdr:from>
      <xdr:col>15</xdr:col>
      <xdr:colOff>695324</xdr:colOff>
      <xdr:row>1</xdr:row>
      <xdr:rowOff>0</xdr:rowOff>
    </xdr:from>
    <xdr:to>
      <xdr:col>18</xdr:col>
      <xdr:colOff>266924</xdr:colOff>
      <xdr:row>2</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13639799" y="190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15</xdr:col>
      <xdr:colOff>695325</xdr:colOff>
      <xdr:row>3</xdr:row>
      <xdr:rowOff>0</xdr:rowOff>
    </xdr:from>
    <xdr:to>
      <xdr:col>18</xdr:col>
      <xdr:colOff>266925</xdr:colOff>
      <xdr:row>4</xdr:row>
      <xdr:rowOff>76201</xdr:rowOff>
    </xdr:to>
    <xdr:sp macro="" textlink="">
      <xdr:nvSpPr>
        <xdr:cNvPr id="6" name="Rechteck: abgerundete Ecken 8">
          <a:hlinkClick xmlns:r="http://schemas.openxmlformats.org/officeDocument/2006/relationships" r:id="rId4"/>
          <a:extLst>
            <a:ext uri="{FF2B5EF4-FFF2-40B4-BE49-F238E27FC236}">
              <a16:creationId xmlns:a16="http://schemas.microsoft.com/office/drawing/2014/main" id="{00000000-0008-0000-0700-000006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209551</xdr:colOff>
      <xdr:row>4</xdr:row>
      <xdr:rowOff>104776</xdr:rowOff>
    </xdr:to>
    <xdr:sp macro="" textlink="">
      <xdr:nvSpPr>
        <xdr:cNvPr id="2" name="Rechteck: abgerundete Ecken 8">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381000" y="190500"/>
          <a:ext cx="23050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twoCellAnchor>
    <xdr:from>
      <xdr:col>1</xdr:col>
      <xdr:colOff>192182</xdr:colOff>
      <xdr:row>17</xdr:row>
      <xdr:rowOff>115978</xdr:rowOff>
    </xdr:from>
    <xdr:to>
      <xdr:col>10</xdr:col>
      <xdr:colOff>259417</xdr:colOff>
      <xdr:row>44</xdr:row>
      <xdr:rowOff>63311</xdr:rowOff>
    </xdr:to>
    <xdr:graphicFrame macro="">
      <xdr:nvGraphicFramePr>
        <xdr:cNvPr id="3" name="CR_Factor">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xdr:row>
      <xdr:rowOff>0</xdr:rowOff>
    </xdr:from>
    <xdr:to>
      <xdr:col>15</xdr:col>
      <xdr:colOff>19050</xdr:colOff>
      <xdr:row>4</xdr:row>
      <xdr:rowOff>104776</xdr:rowOff>
    </xdr:to>
    <xdr:sp macro="" textlink="">
      <xdr:nvSpPr>
        <xdr:cNvPr id="4" name="Rechteck: abgerundete Ecken 8">
          <a:extLst>
            <a:ext uri="{FF2B5EF4-FFF2-40B4-BE49-F238E27FC236}">
              <a16:creationId xmlns:a16="http://schemas.microsoft.com/office/drawing/2014/main" id="{00000000-0008-0000-0800-000004000000}"/>
            </a:ext>
          </a:extLst>
        </xdr:cNvPr>
        <xdr:cNvSpPr/>
      </xdr:nvSpPr>
      <xdr:spPr>
        <a:xfrm>
          <a:off x="3524250" y="190500"/>
          <a:ext cx="9372600" cy="676276"/>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de-DE" sz="1600" b="1">
              <a:solidFill>
                <a:schemeClr val="bg1"/>
              </a:solidFill>
            </a:rPr>
            <a:t>Funds</a:t>
          </a:r>
        </a:p>
      </xdr:txBody>
    </xdr:sp>
    <xdr:clientData/>
  </xdr:twoCellAnchor>
  <xdr:twoCellAnchor>
    <xdr:from>
      <xdr:col>16</xdr:col>
      <xdr:colOff>0</xdr:colOff>
      <xdr:row>1</xdr:row>
      <xdr:rowOff>0</xdr:rowOff>
    </xdr:from>
    <xdr:to>
      <xdr:col>18</xdr:col>
      <xdr:colOff>335025</xdr:colOff>
      <xdr:row>2</xdr:row>
      <xdr:rowOff>76201</xdr:rowOff>
    </xdr:to>
    <xdr:sp macro="" textlink="">
      <xdr:nvSpPr>
        <xdr:cNvPr id="5" name="Rechteck: abgerundete Ecken 8">
          <a:hlinkClick xmlns:r="http://schemas.openxmlformats.org/officeDocument/2006/relationships" r:id="rId3"/>
          <a:extLst>
            <a:ext uri="{FF2B5EF4-FFF2-40B4-BE49-F238E27FC236}">
              <a16:creationId xmlns:a16="http://schemas.microsoft.com/office/drawing/2014/main" id="{00000000-0008-0000-0800-000005000000}"/>
            </a:ext>
          </a:extLst>
        </xdr:cNvPr>
        <xdr:cNvSpPr/>
      </xdr:nvSpPr>
      <xdr:spPr>
        <a:xfrm>
          <a:off x="13639800" y="190500"/>
          <a:ext cx="1859025"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Information</a:t>
          </a:r>
        </a:p>
      </xdr:txBody>
    </xdr:sp>
    <xdr:clientData/>
  </xdr:twoCellAnchor>
  <xdr:twoCellAnchor>
    <xdr:from>
      <xdr:col>16</xdr:col>
      <xdr:colOff>0</xdr:colOff>
      <xdr:row>3</xdr:row>
      <xdr:rowOff>0</xdr:rowOff>
    </xdr:from>
    <xdr:to>
      <xdr:col>18</xdr:col>
      <xdr:colOff>333600</xdr:colOff>
      <xdr:row>4</xdr:row>
      <xdr:rowOff>76201</xdr:rowOff>
    </xdr:to>
    <xdr:sp macro="" textlink="">
      <xdr:nvSpPr>
        <xdr:cNvPr id="6" name="Rechteck: abgerundete Ecken 8">
          <a:hlinkClick xmlns:r="http://schemas.openxmlformats.org/officeDocument/2006/relationships" r:id="rId4"/>
          <a:extLst>
            <a:ext uri="{FF2B5EF4-FFF2-40B4-BE49-F238E27FC236}">
              <a16:creationId xmlns:a16="http://schemas.microsoft.com/office/drawing/2014/main" id="{00000000-0008-0000-0800-000006000000}"/>
            </a:ext>
          </a:extLst>
        </xdr:cNvPr>
        <xdr:cNvSpPr/>
      </xdr:nvSpPr>
      <xdr:spPr>
        <a:xfrm>
          <a:off x="13639800" y="571500"/>
          <a:ext cx="1857600" cy="266701"/>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Imprint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17</xdr:row>
      <xdr:rowOff>16668</xdr:rowOff>
    </xdr:from>
    <xdr:to>
      <xdr:col>13</xdr:col>
      <xdr:colOff>657225</xdr:colOff>
      <xdr:row>18</xdr:row>
      <xdr:rowOff>92869</xdr:rowOff>
    </xdr:to>
    <xdr:sp macro="" textlink="">
      <xdr:nvSpPr>
        <xdr:cNvPr id="12" name="Rechteck: abgerundete Ecken 8">
          <a:hlinkClick xmlns:r="http://schemas.openxmlformats.org/officeDocument/2006/relationships" r:id="rId1"/>
          <a:extLst>
            <a:ext uri="{FF2B5EF4-FFF2-40B4-BE49-F238E27FC236}">
              <a16:creationId xmlns:a16="http://schemas.microsoft.com/office/drawing/2014/main" id="{00000000-0008-0000-0900-00000C000000}"/>
            </a:ext>
          </a:extLst>
        </xdr:cNvPr>
        <xdr:cNvSpPr/>
      </xdr:nvSpPr>
      <xdr:spPr>
        <a:xfrm>
          <a:off x="3810000" y="3255168"/>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Best-in-class</a:t>
          </a:r>
          <a:r>
            <a:rPr lang="de-DE" sz="1200" baseline="0">
              <a:solidFill>
                <a:schemeClr val="bg1"/>
              </a:solidFill>
            </a:rPr>
            <a:t> Approach</a:t>
          </a:r>
          <a:endParaRPr lang="de-DE" sz="1200">
            <a:solidFill>
              <a:schemeClr val="bg1"/>
            </a:solidFill>
          </a:endParaRPr>
        </a:p>
      </xdr:txBody>
    </xdr:sp>
    <xdr:clientData/>
  </xdr:twoCellAnchor>
  <xdr:twoCellAnchor>
    <xdr:from>
      <xdr:col>1</xdr:col>
      <xdr:colOff>0</xdr:colOff>
      <xdr:row>2</xdr:row>
      <xdr:rowOff>0</xdr:rowOff>
    </xdr:from>
    <xdr:to>
      <xdr:col>4</xdr:col>
      <xdr:colOff>234000</xdr:colOff>
      <xdr:row>20</xdr:row>
      <xdr:rowOff>171000</xdr:rowOff>
    </xdr:to>
    <xdr:sp macro="" textlink="">
      <xdr:nvSpPr>
        <xdr:cNvPr id="2" name="Rechteck: abgerundete Ecken 2">
          <a:extLst>
            <a:ext uri="{FF2B5EF4-FFF2-40B4-BE49-F238E27FC236}">
              <a16:creationId xmlns:a16="http://schemas.microsoft.com/office/drawing/2014/main" id="{00000000-0008-0000-0900-000002000000}"/>
            </a:ext>
          </a:extLst>
        </xdr:cNvPr>
        <xdr:cNvSpPr/>
      </xdr:nvSpPr>
      <xdr:spPr>
        <a:xfrm>
          <a:off x="762000" y="381000"/>
          <a:ext cx="2520000" cy="3600000"/>
        </a:xfrm>
        <a:prstGeom prst="roundRect">
          <a:avLst/>
        </a:prstGeom>
        <a:solidFill>
          <a:srgbClr val="6A929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b="1">
              <a:solidFill>
                <a:schemeClr val="lt1"/>
              </a:solidFill>
              <a:effectLst/>
              <a:latin typeface="+mn-lt"/>
              <a:ea typeface="+mn-ea"/>
              <a:cs typeface="+mn-cs"/>
            </a:rPr>
            <a:t>Chapter 4:</a:t>
          </a:r>
          <a:endParaRPr lang="de-DE">
            <a:effectLst/>
          </a:endParaRPr>
        </a:p>
        <a:p>
          <a:r>
            <a:rPr lang="de-DE" sz="1100">
              <a:solidFill>
                <a:schemeClr val="lt1"/>
              </a:solidFill>
              <a:effectLst/>
              <a:latin typeface="+mn-lt"/>
              <a:ea typeface="+mn-ea"/>
              <a:cs typeface="+mn-cs"/>
            </a:rPr>
            <a:t>On the following</a:t>
          </a:r>
          <a:r>
            <a:rPr lang="de-DE" sz="1100" baseline="0">
              <a:solidFill>
                <a:schemeClr val="lt1"/>
              </a:solidFill>
              <a:effectLst/>
              <a:latin typeface="+mn-lt"/>
              <a:ea typeface="+mn-ea"/>
              <a:cs typeface="+mn-cs"/>
            </a:rPr>
            <a:t> sheets, you can find exemplary applications on how to quantify carbon beta in different application areas.</a:t>
          </a:r>
          <a:endParaRPr lang="de-DE">
            <a:effectLst/>
          </a:endParaRPr>
        </a:p>
      </xdr:txBody>
    </xdr:sp>
    <xdr:clientData/>
  </xdr:twoCellAnchor>
  <xdr:twoCellAnchor>
    <xdr:from>
      <xdr:col>5</xdr:col>
      <xdr:colOff>0</xdr:colOff>
      <xdr:row>7</xdr:row>
      <xdr:rowOff>0</xdr:rowOff>
    </xdr:from>
    <xdr:to>
      <xdr:col>13</xdr:col>
      <xdr:colOff>657225</xdr:colOff>
      <xdr:row>8</xdr:row>
      <xdr:rowOff>76201</xdr:rowOff>
    </xdr:to>
    <xdr:sp macro="" textlink="">
      <xdr:nvSpPr>
        <xdr:cNvPr id="8" name="Rechteck: abgerundete Ecken 8">
          <a:hlinkClick xmlns:r="http://schemas.openxmlformats.org/officeDocument/2006/relationships" r:id="rId2"/>
          <a:extLst>
            <a:ext uri="{FF2B5EF4-FFF2-40B4-BE49-F238E27FC236}">
              <a16:creationId xmlns:a16="http://schemas.microsoft.com/office/drawing/2014/main" id="{00000000-0008-0000-0900-000008000000}"/>
            </a:ext>
          </a:extLst>
        </xdr:cNvPr>
        <xdr:cNvSpPr/>
      </xdr:nvSpPr>
      <xdr:spPr>
        <a:xfrm>
          <a:off x="3810000" y="1333500"/>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Betas</a:t>
          </a:r>
          <a:r>
            <a:rPr lang="de-DE" sz="1200" baseline="0">
              <a:solidFill>
                <a:schemeClr val="bg1"/>
              </a:solidFill>
            </a:rPr>
            <a:t> </a:t>
          </a:r>
          <a:r>
            <a:rPr lang="de-DE" sz="1200">
              <a:solidFill>
                <a:schemeClr val="bg1"/>
              </a:solidFill>
            </a:rPr>
            <a:t>of Countries</a:t>
          </a:r>
        </a:p>
      </xdr:txBody>
    </xdr:sp>
    <xdr:clientData/>
  </xdr:twoCellAnchor>
  <xdr:twoCellAnchor>
    <xdr:from>
      <xdr:col>5</xdr:col>
      <xdr:colOff>0</xdr:colOff>
      <xdr:row>11</xdr:row>
      <xdr:rowOff>6668</xdr:rowOff>
    </xdr:from>
    <xdr:to>
      <xdr:col>13</xdr:col>
      <xdr:colOff>657225</xdr:colOff>
      <xdr:row>12</xdr:row>
      <xdr:rowOff>82869</xdr:rowOff>
    </xdr:to>
    <xdr:sp macro="" textlink="">
      <xdr:nvSpPr>
        <xdr:cNvPr id="9" name="Rechteck: abgerundete Ecken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3810000" y="2102168"/>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Betas in the Financial Sector</a:t>
          </a:r>
        </a:p>
      </xdr:txBody>
    </xdr:sp>
    <xdr:clientData/>
  </xdr:twoCellAnchor>
  <xdr:twoCellAnchor>
    <xdr:from>
      <xdr:col>5</xdr:col>
      <xdr:colOff>0</xdr:colOff>
      <xdr:row>15</xdr:row>
      <xdr:rowOff>13336</xdr:rowOff>
    </xdr:from>
    <xdr:to>
      <xdr:col>13</xdr:col>
      <xdr:colOff>657225</xdr:colOff>
      <xdr:row>16</xdr:row>
      <xdr:rowOff>89537</xdr:rowOff>
    </xdr:to>
    <xdr:sp macro="" textlink="">
      <xdr:nvSpPr>
        <xdr:cNvPr id="10" name="Rechteck: abgerundete Ecken 8">
          <a:hlinkClick xmlns:r="http://schemas.openxmlformats.org/officeDocument/2006/relationships" r:id="rId4"/>
          <a:extLst>
            <a:ext uri="{FF2B5EF4-FFF2-40B4-BE49-F238E27FC236}">
              <a16:creationId xmlns:a16="http://schemas.microsoft.com/office/drawing/2014/main" id="{00000000-0008-0000-0900-00000A000000}"/>
            </a:ext>
          </a:extLst>
        </xdr:cNvPr>
        <xdr:cNvSpPr/>
      </xdr:nvSpPr>
      <xdr:spPr>
        <a:xfrm>
          <a:off x="3810000" y="2870836"/>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baseline="0">
              <a:solidFill>
                <a:schemeClr val="bg1"/>
              </a:solidFill>
            </a:rPr>
            <a:t>Factor Investing</a:t>
          </a:r>
          <a:endParaRPr lang="de-DE" sz="1200">
            <a:solidFill>
              <a:schemeClr val="bg1"/>
            </a:solidFill>
          </a:endParaRPr>
        </a:p>
      </xdr:txBody>
    </xdr:sp>
    <xdr:clientData/>
  </xdr:twoCellAnchor>
  <xdr:twoCellAnchor>
    <xdr:from>
      <xdr:col>5</xdr:col>
      <xdr:colOff>0</xdr:colOff>
      <xdr:row>13</xdr:row>
      <xdr:rowOff>10002</xdr:rowOff>
    </xdr:from>
    <xdr:to>
      <xdr:col>13</xdr:col>
      <xdr:colOff>657225</xdr:colOff>
      <xdr:row>14</xdr:row>
      <xdr:rowOff>86203</xdr:rowOff>
    </xdr:to>
    <xdr:sp macro="" textlink="">
      <xdr:nvSpPr>
        <xdr:cNvPr id="11" name="Rechteck: abgerundete Ecken 8">
          <a:hlinkClick xmlns:r="http://schemas.openxmlformats.org/officeDocument/2006/relationships" r:id="rId5"/>
          <a:extLst>
            <a:ext uri="{FF2B5EF4-FFF2-40B4-BE49-F238E27FC236}">
              <a16:creationId xmlns:a16="http://schemas.microsoft.com/office/drawing/2014/main" id="{00000000-0008-0000-0900-00000B000000}"/>
            </a:ext>
          </a:extLst>
        </xdr:cNvPr>
        <xdr:cNvSpPr/>
      </xdr:nvSpPr>
      <xdr:spPr>
        <a:xfrm>
          <a:off x="3810000" y="2486502"/>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baseline="0">
              <a:solidFill>
                <a:schemeClr val="bg1"/>
              </a:solidFill>
            </a:rPr>
            <a:t>Management and Hedging of Carbon Risks</a:t>
          </a:r>
          <a:endParaRPr lang="de-DE" sz="1200">
            <a:solidFill>
              <a:schemeClr val="bg1"/>
            </a:solidFill>
          </a:endParaRPr>
        </a:p>
      </xdr:txBody>
    </xdr:sp>
    <xdr:clientData/>
  </xdr:twoCellAnchor>
  <xdr:twoCellAnchor>
    <xdr:from>
      <xdr:col>5</xdr:col>
      <xdr:colOff>0</xdr:colOff>
      <xdr:row>9</xdr:row>
      <xdr:rowOff>3334</xdr:rowOff>
    </xdr:from>
    <xdr:to>
      <xdr:col>13</xdr:col>
      <xdr:colOff>657225</xdr:colOff>
      <xdr:row>10</xdr:row>
      <xdr:rowOff>79535</xdr:rowOff>
    </xdr:to>
    <xdr:sp macro="" textlink="">
      <xdr:nvSpPr>
        <xdr:cNvPr id="13" name="Rechteck: abgerundete Ecken 8">
          <a:hlinkClick xmlns:r="http://schemas.openxmlformats.org/officeDocument/2006/relationships" r:id="rId6"/>
          <a:extLst>
            <a:ext uri="{FF2B5EF4-FFF2-40B4-BE49-F238E27FC236}">
              <a16:creationId xmlns:a16="http://schemas.microsoft.com/office/drawing/2014/main" id="{00000000-0008-0000-0900-00000D000000}"/>
            </a:ext>
          </a:extLst>
        </xdr:cNvPr>
        <xdr:cNvSpPr/>
      </xdr:nvSpPr>
      <xdr:spPr>
        <a:xfrm>
          <a:off x="3810000" y="1717834"/>
          <a:ext cx="6753225" cy="266701"/>
        </a:xfrm>
        <a:prstGeom prst="roundRect">
          <a:avLst/>
        </a:prstGeom>
        <a:solidFill>
          <a:srgbClr val="8CA83E"/>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de-DE" sz="1200">
              <a:solidFill>
                <a:schemeClr val="bg1"/>
              </a:solidFill>
            </a:rPr>
            <a:t>Carbon Betas</a:t>
          </a:r>
          <a:r>
            <a:rPr lang="de-DE" sz="1200" baseline="0">
              <a:solidFill>
                <a:schemeClr val="bg1"/>
              </a:solidFill>
            </a:rPr>
            <a:t> of Sectors</a:t>
          </a:r>
          <a:endParaRPr lang="de-DE" sz="1200">
            <a:solidFill>
              <a:schemeClr val="bg1"/>
            </a:solidFill>
          </a:endParaRPr>
        </a:p>
      </xdr:txBody>
    </xdr:sp>
    <xdr:clientData/>
  </xdr:twoCellAnchor>
  <xdr:twoCellAnchor>
    <xdr:from>
      <xdr:col>8</xdr:col>
      <xdr:colOff>152400</xdr:colOff>
      <xdr:row>2</xdr:row>
      <xdr:rowOff>114300</xdr:rowOff>
    </xdr:from>
    <xdr:to>
      <xdr:col>10</xdr:col>
      <xdr:colOff>361951</xdr:colOff>
      <xdr:row>6</xdr:row>
      <xdr:rowOff>28576</xdr:rowOff>
    </xdr:to>
    <xdr:sp macro="" textlink="">
      <xdr:nvSpPr>
        <xdr:cNvPr id="14" name="Rechteck: abgerundete Ecken 8">
          <a:hlinkClick xmlns:r="http://schemas.openxmlformats.org/officeDocument/2006/relationships" r:id="rId7"/>
          <a:extLst>
            <a:ext uri="{FF2B5EF4-FFF2-40B4-BE49-F238E27FC236}">
              <a16:creationId xmlns:a16="http://schemas.microsoft.com/office/drawing/2014/main" id="{00000000-0008-0000-0900-00000E000000}"/>
            </a:ext>
          </a:extLst>
        </xdr:cNvPr>
        <xdr:cNvSpPr/>
      </xdr:nvSpPr>
      <xdr:spPr>
        <a:xfrm>
          <a:off x="6248400" y="495300"/>
          <a:ext cx="1733551" cy="676276"/>
        </a:xfrm>
        <a:prstGeom prst="roundRect">
          <a:avLst/>
        </a:prstGeom>
        <a:solidFill>
          <a:srgbClr val="6A929C"/>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Back to the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white"/>
              </a:solidFill>
              <a:effectLst/>
              <a:uLnTx/>
              <a:uFillTx/>
              <a:latin typeface="+mn-lt"/>
              <a:ea typeface="+mn-ea"/>
              <a:cs typeface="+mn-cs"/>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Tool%20CARIMA_017_2%20for%20W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formation"/>
      <sheetName val="Imprint"/>
      <sheetName val="Carbon Risk Factor"/>
      <sheetName val="Carbon Beta"/>
      <sheetName val="Tabelle1"/>
      <sheetName val="Carbon Beta Return"/>
      <sheetName val="Carbon Risk Portfolio"/>
      <sheetName val="Carbon Risk Portfolio_simple"/>
      <sheetName val="NR_Regressions"/>
      <sheetName val="Carbon Risk Factor Raw"/>
      <sheetName val="Risk Factors"/>
      <sheetName val="Assets"/>
    </sheetNames>
    <sheetDataSet>
      <sheetData sheetId="0"/>
      <sheetData sheetId="1"/>
      <sheetData sheetId="2"/>
      <sheetData sheetId="3">
        <row r="6">
          <cell r="C6" t="str">
            <v>global</v>
          </cell>
        </row>
        <row r="7">
          <cell r="C7" t="str">
            <v>monthly</v>
          </cell>
        </row>
        <row r="8">
          <cell r="C8">
            <v>40179</v>
          </cell>
        </row>
        <row r="9">
          <cell r="C9">
            <v>42735</v>
          </cell>
        </row>
        <row r="10">
          <cell r="C10">
            <v>84</v>
          </cell>
        </row>
        <row r="13">
          <cell r="U13">
            <v>39478</v>
          </cell>
        </row>
      </sheetData>
      <sheetData sheetId="4">
        <row r="6">
          <cell r="C6" t="str">
            <v>global</v>
          </cell>
        </row>
        <row r="8">
          <cell r="C8">
            <v>40179</v>
          </cell>
        </row>
        <row r="9">
          <cell r="C9">
            <v>42735</v>
          </cell>
        </row>
        <row r="11">
          <cell r="C11" t="str">
            <v>TESLA</v>
          </cell>
        </row>
        <row r="12">
          <cell r="C12" t="str">
            <v>TOYOTA MOTOR</v>
          </cell>
        </row>
        <row r="13">
          <cell r="C13" t="str">
            <v>NORDEX</v>
          </cell>
        </row>
      </sheetData>
      <sheetData sheetId="5"/>
      <sheetData sheetId="6"/>
      <sheetData sheetId="7">
        <row r="4">
          <cell r="AB4">
            <v>0.5</v>
          </cell>
          <cell r="AC4">
            <v>0.25</v>
          </cell>
        </row>
        <row r="5">
          <cell r="AB5">
            <v>0.5</v>
          </cell>
          <cell r="AC5">
            <v>0.25</v>
          </cell>
        </row>
        <row r="6">
          <cell r="AC6">
            <v>0.5</v>
          </cell>
        </row>
        <row r="7">
          <cell r="C7" t="str">
            <v>monthly</v>
          </cell>
        </row>
        <row r="8">
          <cell r="C8">
            <v>40210</v>
          </cell>
        </row>
      </sheetData>
      <sheetData sheetId="8"/>
      <sheetData sheetId="9"/>
      <sheetData sheetId="10"/>
      <sheetData sheetId="11"/>
      <sheetData sheetId="1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3.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5E838C"/>
    <pageSetUpPr autoPageBreaks="0"/>
  </sheetPr>
  <dimension ref="A1:N45"/>
  <sheetViews>
    <sheetView tabSelected="1" workbookViewId="0"/>
  </sheetViews>
  <sheetFormatPr baseColWidth="10" defaultColWidth="11.42578125" defaultRowHeight="12.75"/>
  <cols>
    <col min="1" max="2" width="2" style="10" customWidth="1"/>
    <col min="3" max="3" width="105.7109375" style="10" customWidth="1"/>
    <col min="4" max="4" width="2" style="10" customWidth="1"/>
    <col min="5" max="16384" width="11.42578125" style="10"/>
  </cols>
  <sheetData>
    <row r="1" spans="1:4" ht="10.5" customHeight="1" thickBot="1"/>
    <row r="2" spans="1:4" ht="21">
      <c r="B2" s="227"/>
      <c r="C2" s="228" t="s">
        <v>0</v>
      </c>
      <c r="D2" s="229"/>
    </row>
    <row r="3" spans="1:4" ht="21.75" thickBot="1">
      <c r="B3" s="230"/>
      <c r="C3" s="226" t="s">
        <v>191</v>
      </c>
      <c r="D3" s="231"/>
    </row>
    <row r="4" spans="1:4" ht="5.25" customHeight="1">
      <c r="B4" s="12"/>
      <c r="C4" s="13"/>
      <c r="D4" s="219"/>
    </row>
    <row r="5" spans="1:4" s="223" customFormat="1" ht="15" customHeight="1">
      <c r="A5" s="220"/>
      <c r="B5" s="221"/>
      <c r="C5" s="17"/>
      <c r="D5" s="222"/>
    </row>
    <row r="6" spans="1:4" s="223" customFormat="1" ht="15" customHeight="1">
      <c r="B6" s="221"/>
      <c r="C6" s="17"/>
      <c r="D6" s="222"/>
    </row>
    <row r="7" spans="1:4" s="223" customFormat="1" ht="15.75" thickBot="1">
      <c r="B7" s="224"/>
      <c r="C7" s="17"/>
      <c r="D7" s="222"/>
    </row>
    <row r="8" spans="1:4" s="223" customFormat="1" ht="16.5" customHeight="1" thickTop="1" thickBot="1">
      <c r="B8" s="224"/>
      <c r="C8" s="225"/>
      <c r="D8" s="222"/>
    </row>
    <row r="9" spans="1:4" ht="20.25" thickTop="1" thickBot="1">
      <c r="B9" s="12"/>
      <c r="C9" s="232" t="s">
        <v>187</v>
      </c>
      <c r="D9" s="219"/>
    </row>
    <row r="10" spans="1:4" ht="13.5" thickTop="1">
      <c r="B10" s="12"/>
      <c r="C10" s="13"/>
      <c r="D10" s="219"/>
    </row>
    <row r="11" spans="1:4">
      <c r="B11" s="12"/>
      <c r="C11" s="13"/>
      <c r="D11" s="219"/>
    </row>
    <row r="12" spans="1:4">
      <c r="B12" s="12"/>
      <c r="C12" s="13"/>
      <c r="D12" s="219"/>
    </row>
    <row r="13" spans="1:4">
      <c r="B13" s="12"/>
      <c r="C13" s="13"/>
      <c r="D13" s="219"/>
    </row>
    <row r="14" spans="1:4">
      <c r="B14" s="12"/>
      <c r="C14" s="13"/>
      <c r="D14" s="219"/>
    </row>
    <row r="15" spans="1:4">
      <c r="B15" s="12"/>
      <c r="C15" s="13"/>
      <c r="D15" s="219"/>
    </row>
    <row r="16" spans="1:4">
      <c r="B16" s="12"/>
      <c r="C16" s="13"/>
      <c r="D16" s="219"/>
    </row>
    <row r="17" spans="2:14">
      <c r="B17" s="12"/>
      <c r="C17" s="13"/>
      <c r="D17" s="219"/>
    </row>
    <row r="18" spans="2:14">
      <c r="B18" s="12"/>
      <c r="C18" s="13"/>
      <c r="D18" s="219"/>
    </row>
    <row r="19" spans="2:14" ht="13.5" thickBot="1">
      <c r="B19" s="12"/>
      <c r="C19" s="13"/>
      <c r="D19" s="219"/>
    </row>
    <row r="20" spans="2:14" ht="20.25" thickTop="1" thickBot="1">
      <c r="B20" s="12"/>
      <c r="C20" s="232" t="s">
        <v>188</v>
      </c>
      <c r="D20" s="219"/>
    </row>
    <row r="21" spans="2:14" ht="13.5" thickTop="1">
      <c r="B21" s="12"/>
      <c r="C21" s="13"/>
      <c r="D21" s="219"/>
    </row>
    <row r="22" spans="2:14">
      <c r="B22" s="12"/>
      <c r="C22" s="13"/>
      <c r="D22" s="219"/>
    </row>
    <row r="23" spans="2:14">
      <c r="B23" s="12"/>
      <c r="C23" s="13"/>
      <c r="D23" s="219"/>
      <c r="N23" s="259"/>
    </row>
    <row r="24" spans="2:14">
      <c r="B24" s="12"/>
      <c r="C24" s="13"/>
      <c r="D24" s="219"/>
    </row>
    <row r="25" spans="2:14">
      <c r="B25" s="12"/>
      <c r="C25" s="13"/>
      <c r="D25" s="219"/>
    </row>
    <row r="26" spans="2:14">
      <c r="B26" s="12"/>
      <c r="C26" s="13"/>
      <c r="D26" s="219"/>
    </row>
    <row r="27" spans="2:14">
      <c r="B27" s="12"/>
      <c r="C27" s="13"/>
      <c r="D27" s="219"/>
    </row>
    <row r="28" spans="2:14">
      <c r="B28" s="12"/>
      <c r="C28" s="13"/>
      <c r="D28" s="219"/>
    </row>
    <row r="29" spans="2:14">
      <c r="B29" s="12"/>
      <c r="C29" s="13"/>
      <c r="D29" s="219"/>
    </row>
    <row r="30" spans="2:14">
      <c r="B30" s="12"/>
      <c r="C30" s="13"/>
      <c r="D30" s="219"/>
    </row>
    <row r="31" spans="2:14">
      <c r="B31" s="12"/>
      <c r="C31" s="13"/>
      <c r="D31" s="219"/>
    </row>
    <row r="32" spans="2:14">
      <c r="B32" s="12"/>
      <c r="C32" s="13"/>
      <c r="D32" s="219"/>
    </row>
    <row r="33" spans="2:4">
      <c r="B33" s="12"/>
      <c r="C33" s="13"/>
      <c r="D33" s="219"/>
    </row>
    <row r="34" spans="2:4">
      <c r="B34" s="12"/>
      <c r="C34" s="13"/>
      <c r="D34" s="219"/>
    </row>
    <row r="35" spans="2:4" ht="13.5" thickBot="1">
      <c r="B35" s="12"/>
      <c r="C35" s="13"/>
      <c r="D35" s="219"/>
    </row>
    <row r="36" spans="2:4" s="223" customFormat="1" ht="20.25" thickTop="1" thickBot="1">
      <c r="B36" s="221"/>
      <c r="C36" s="232" t="s">
        <v>189</v>
      </c>
      <c r="D36" s="222"/>
    </row>
    <row r="37" spans="2:4" ht="13.5" thickTop="1">
      <c r="B37" s="12"/>
      <c r="C37" s="13"/>
      <c r="D37" s="219"/>
    </row>
    <row r="38" spans="2:4">
      <c r="B38" s="12"/>
      <c r="C38" s="13"/>
      <c r="D38" s="219"/>
    </row>
    <row r="39" spans="2:4" ht="13.5" thickBot="1">
      <c r="B39" s="12"/>
      <c r="C39" s="13"/>
      <c r="D39" s="219"/>
    </row>
    <row r="40" spans="2:4" ht="20.25" thickTop="1" thickBot="1">
      <c r="B40" s="12"/>
      <c r="C40" s="232" t="s">
        <v>190</v>
      </c>
      <c r="D40" s="219"/>
    </row>
    <row r="41" spans="2:4" ht="13.5" thickTop="1">
      <c r="B41" s="12"/>
      <c r="C41" s="13"/>
      <c r="D41" s="219"/>
    </row>
    <row r="42" spans="2:4">
      <c r="B42" s="12"/>
      <c r="C42" s="13"/>
      <c r="D42" s="219"/>
    </row>
    <row r="43" spans="2:4">
      <c r="B43" s="12"/>
      <c r="C43" s="13"/>
      <c r="D43" s="219"/>
    </row>
    <row r="44" spans="2:4" ht="3.75" customHeight="1">
      <c r="B44" s="12"/>
      <c r="C44" s="13"/>
      <c r="D44" s="219"/>
    </row>
    <row r="45" spans="2:4" ht="16.5" thickBot="1">
      <c r="B45" s="230"/>
      <c r="C45" s="233" t="s">
        <v>293</v>
      </c>
      <c r="D45" s="231"/>
    </row>
  </sheetData>
  <sheetProtection algorithmName="SHA-512" hashValue="vw1SnoBuo2jvoEgsjeu+IWaeUltKBDECWu6g/FYlffOXXxmJQ461e2/6fACjw8IixsvyTmsQm7pkxMKX350X2g==" saltValue="d7liajpSNP0yCjtbh8VW6Q==" spinCount="100000" sheet="1" objects="1" scenarios="1"/>
  <hyperlinks>
    <hyperlink ref="B10:C10" location="abs411" display="abs41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E838C"/>
  </sheetPr>
  <dimension ref="A1"/>
  <sheetViews>
    <sheetView workbookViewId="0"/>
  </sheetViews>
  <sheetFormatPr baseColWidth="10" defaultRowHeight="15"/>
  <cols>
    <col min="1" max="16384" width="11.42578125" style="9"/>
  </cols>
  <sheetData>
    <row r="1" spans="1:1">
      <c r="A1" s="255"/>
    </row>
  </sheetData>
  <sheetProtection algorithmName="SHA-512" hashValue="OxueX9KgLXOgYEbM4sNpI99GwhcJzoehiFHY8isMkJ8VHwiyx2iNNwLXElOyCGCJ5NwTAhqL2JgJtflj0o6ewA==" saltValue="VpR5+QgYgZPylQSvV4WfIA==" spinCount="100000" sheet="1" objects="1" scenarios="1"/>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86"/>
  <sheetViews>
    <sheetView zoomScale="86" workbookViewId="0">
      <selection activeCell="C1" sqref="C1"/>
    </sheetView>
  </sheetViews>
  <sheetFormatPr baseColWidth="10" defaultRowHeight="15"/>
  <cols>
    <col min="1" max="1" width="5.7109375" style="9" customWidth="1"/>
    <col min="2" max="4" width="15.7109375" style="9" customWidth="1"/>
    <col min="5" max="5" width="11.42578125" style="9" customWidth="1"/>
    <col min="6" max="6" width="19.85546875" style="9" bestFit="1" customWidth="1"/>
    <col min="7" max="7" width="11.42578125" style="9" customWidth="1"/>
    <col min="8" max="8" width="15.7109375" style="9" customWidth="1"/>
    <col min="9" max="11" width="11.42578125" style="9"/>
    <col min="12" max="12" width="10.5703125" style="9" customWidth="1"/>
    <col min="13" max="13" width="3" style="9" customWidth="1"/>
    <col min="14" max="14" width="18.7109375" style="9" customWidth="1"/>
    <col min="15" max="15" width="11.7109375" style="9" bestFit="1" customWidth="1"/>
    <col min="16" max="16" width="20.28515625" style="9" bestFit="1" customWidth="1"/>
    <col min="17" max="17" width="11.7109375" style="9" bestFit="1" customWidth="1"/>
    <col min="18" max="18" width="9.5703125" style="9" customWidth="1"/>
    <col min="19" max="19" width="2" style="9" customWidth="1"/>
    <col min="20" max="16384" width="11.42578125" style="9"/>
  </cols>
  <sheetData>
    <row r="2" spans="2:19" ht="15" customHeight="1">
      <c r="E2" s="14"/>
      <c r="F2" s="452"/>
      <c r="G2" s="452"/>
      <c r="H2" s="452"/>
      <c r="I2" s="452"/>
      <c r="J2" s="452"/>
      <c r="K2" s="452"/>
      <c r="L2" s="452"/>
      <c r="M2" s="452"/>
      <c r="N2" s="452"/>
      <c r="O2" s="14"/>
    </row>
    <row r="3" spans="2:19" ht="15" customHeight="1">
      <c r="E3" s="93"/>
      <c r="F3" s="452"/>
      <c r="G3" s="452"/>
      <c r="H3" s="452"/>
      <c r="I3" s="452"/>
      <c r="J3" s="452"/>
      <c r="K3" s="452"/>
      <c r="L3" s="452"/>
      <c r="M3" s="452"/>
      <c r="N3" s="452"/>
      <c r="O3" s="93"/>
    </row>
    <row r="4" spans="2:19" ht="15" customHeight="1">
      <c r="E4" s="14"/>
      <c r="F4" s="452"/>
      <c r="G4" s="452"/>
      <c r="H4" s="452"/>
      <c r="I4" s="452"/>
      <c r="J4" s="452"/>
      <c r="K4" s="452"/>
      <c r="L4" s="452"/>
      <c r="M4" s="452"/>
      <c r="N4" s="452"/>
      <c r="O4" s="14"/>
    </row>
    <row r="6" spans="2:19" ht="15.75" thickBot="1"/>
    <row r="7" spans="2:19" ht="19.5" thickBot="1">
      <c r="B7" s="250"/>
      <c r="C7" s="251"/>
      <c r="D7" s="251"/>
      <c r="E7" s="251"/>
      <c r="F7" s="251"/>
      <c r="G7" s="251"/>
      <c r="H7" s="251"/>
      <c r="I7" s="251"/>
      <c r="J7" s="251"/>
      <c r="K7" s="251"/>
      <c r="L7" s="251"/>
      <c r="M7" s="251"/>
      <c r="N7" s="251"/>
      <c r="O7" s="251"/>
      <c r="P7" s="251"/>
      <c r="Q7" s="251"/>
      <c r="R7" s="251"/>
      <c r="S7" s="252"/>
    </row>
    <row r="8" spans="2:19">
      <c r="B8" s="12"/>
      <c r="C8" s="13"/>
      <c r="D8" s="13"/>
      <c r="E8" s="13"/>
      <c r="F8" s="13"/>
      <c r="G8" s="13"/>
      <c r="H8" s="13"/>
      <c r="I8" s="13"/>
      <c r="J8" s="13"/>
      <c r="K8" s="13"/>
      <c r="L8" s="14"/>
      <c r="M8" s="14"/>
      <c r="N8" s="14"/>
      <c r="O8" s="14"/>
      <c r="P8" s="14"/>
      <c r="Q8" s="14"/>
      <c r="R8" s="14"/>
      <c r="S8" s="15"/>
    </row>
    <row r="9" spans="2:19" ht="15.75" thickBot="1">
      <c r="B9" s="16"/>
      <c r="C9" s="136"/>
      <c r="D9" s="136"/>
      <c r="E9" s="14"/>
      <c r="F9" s="124"/>
      <c r="G9" s="14"/>
      <c r="H9" s="137"/>
      <c r="I9" s="137"/>
      <c r="J9" s="137"/>
      <c r="K9" s="14"/>
      <c r="L9" s="135"/>
      <c r="M9" s="135"/>
      <c r="N9" s="140" t="s">
        <v>29</v>
      </c>
      <c r="O9" s="148" t="s">
        <v>30</v>
      </c>
      <c r="P9" s="145" t="s">
        <v>29</v>
      </c>
      <c r="Q9" s="140" t="s">
        <v>30</v>
      </c>
      <c r="R9" s="110"/>
      <c r="S9" s="15"/>
    </row>
    <row r="10" spans="2:19" ht="15.75" thickBot="1">
      <c r="B10" s="16"/>
      <c r="C10" s="125"/>
      <c r="D10" s="126"/>
      <c r="E10" s="14"/>
      <c r="F10" s="125"/>
      <c r="G10" s="14"/>
      <c r="H10" s="105"/>
      <c r="I10" s="106"/>
      <c r="J10" s="13"/>
      <c r="K10" s="14"/>
      <c r="L10" s="95"/>
      <c r="M10" s="95"/>
      <c r="N10" s="141" t="s">
        <v>32</v>
      </c>
      <c r="O10" s="149">
        <v>0.16327320000000001</v>
      </c>
      <c r="P10" s="146" t="s">
        <v>78</v>
      </c>
      <c r="Q10" s="142">
        <v>0.1054706</v>
      </c>
      <c r="R10" s="95"/>
      <c r="S10" s="15"/>
    </row>
    <row r="11" spans="2:19" ht="15.75" thickBot="1">
      <c r="B11" s="16"/>
      <c r="C11" s="125"/>
      <c r="D11" s="126"/>
      <c r="E11" s="14"/>
      <c r="F11" s="125"/>
      <c r="G11" s="14"/>
      <c r="H11" s="127"/>
      <c r="I11" s="106"/>
      <c r="J11" s="13"/>
      <c r="K11" s="14"/>
      <c r="L11" s="98"/>
      <c r="M11" s="111"/>
      <c r="N11" s="143" t="s">
        <v>34</v>
      </c>
      <c r="O11" s="150">
        <v>0.24431720000000001</v>
      </c>
      <c r="P11" s="147" t="s">
        <v>77</v>
      </c>
      <c r="Q11" s="144">
        <v>0.31215480000000001</v>
      </c>
      <c r="R11" s="111"/>
      <c r="S11" s="15"/>
    </row>
    <row r="12" spans="2:19" ht="15.75" thickBot="1">
      <c r="B12" s="16"/>
      <c r="C12" s="125"/>
      <c r="D12" s="128"/>
      <c r="E12" s="14"/>
      <c r="F12" s="125"/>
      <c r="G12" s="14"/>
      <c r="H12" s="105"/>
      <c r="I12" s="106"/>
      <c r="J12" s="13"/>
      <c r="K12" s="14"/>
      <c r="L12" s="95"/>
      <c r="M12" s="112"/>
      <c r="N12" s="141" t="s">
        <v>33</v>
      </c>
      <c r="O12" s="149">
        <v>-0.43778089999999997</v>
      </c>
      <c r="P12" s="146" t="s">
        <v>75</v>
      </c>
      <c r="Q12" s="142">
        <v>-0.27201379999999997</v>
      </c>
      <c r="R12" s="112"/>
      <c r="S12" s="15"/>
    </row>
    <row r="13" spans="2:19" ht="15.75" thickBot="1">
      <c r="B13" s="16"/>
      <c r="C13" s="125"/>
      <c r="D13" s="128"/>
      <c r="E13" s="14"/>
      <c r="F13" s="125"/>
      <c r="G13" s="14"/>
      <c r="H13" s="105"/>
      <c r="I13" s="106"/>
      <c r="J13" s="13"/>
      <c r="K13" s="14"/>
      <c r="L13" s="98"/>
      <c r="M13" s="111"/>
      <c r="N13" s="143" t="s">
        <v>35</v>
      </c>
      <c r="O13" s="150">
        <v>-8.95291E-2</v>
      </c>
      <c r="P13" s="147" t="s">
        <v>80</v>
      </c>
      <c r="Q13" s="144">
        <v>-0.50088969999999999</v>
      </c>
      <c r="R13" s="111"/>
      <c r="S13" s="15"/>
    </row>
    <row r="14" spans="2:19" ht="15.75" thickBot="1">
      <c r="B14" s="16"/>
      <c r="C14" s="125"/>
      <c r="D14" s="129"/>
      <c r="E14" s="14"/>
      <c r="F14" s="125"/>
      <c r="G14" s="14"/>
      <c r="H14" s="105"/>
      <c r="I14" s="106"/>
      <c r="J14" s="107"/>
      <c r="K14" s="14"/>
      <c r="L14" s="95"/>
      <c r="M14" s="112"/>
      <c r="N14" s="141" t="s">
        <v>36</v>
      </c>
      <c r="O14" s="149">
        <v>-0.47359079999999998</v>
      </c>
      <c r="P14" s="146" t="s">
        <v>82</v>
      </c>
      <c r="Q14" s="142">
        <v>0.11474719999999999</v>
      </c>
      <c r="R14" s="112"/>
      <c r="S14" s="15"/>
    </row>
    <row r="15" spans="2:19" ht="15.75" thickBot="1">
      <c r="B15" s="16"/>
      <c r="C15" s="17"/>
      <c r="D15" s="17"/>
      <c r="E15" s="14"/>
      <c r="F15" s="127"/>
      <c r="G15" s="14"/>
      <c r="H15" s="105"/>
      <c r="I15" s="106"/>
      <c r="J15" s="107"/>
      <c r="K15" s="14"/>
      <c r="L15" s="98"/>
      <c r="M15" s="111"/>
      <c r="N15" s="143" t="s">
        <v>38</v>
      </c>
      <c r="O15" s="150">
        <v>0.40972599999999998</v>
      </c>
      <c r="P15" s="147" t="s">
        <v>79</v>
      </c>
      <c r="Q15" s="144">
        <v>-5.98548E-2</v>
      </c>
      <c r="R15" s="111"/>
      <c r="S15" s="15"/>
    </row>
    <row r="16" spans="2:19" ht="15.75" thickBot="1">
      <c r="B16" s="16"/>
      <c r="C16" s="11"/>
      <c r="D16" s="11"/>
      <c r="E16" s="14"/>
      <c r="F16" s="14"/>
      <c r="G16" s="14"/>
      <c r="H16" s="23"/>
      <c r="I16" s="11"/>
      <c r="J16" s="13"/>
      <c r="K16" s="14"/>
      <c r="L16" s="95"/>
      <c r="M16" s="112"/>
      <c r="N16" s="141" t="s">
        <v>37</v>
      </c>
      <c r="O16" s="149">
        <v>-0.25563940000000002</v>
      </c>
      <c r="P16" s="146" t="s">
        <v>45</v>
      </c>
      <c r="Q16" s="142">
        <v>-0.24836330000000001</v>
      </c>
      <c r="R16" s="112"/>
      <c r="S16" s="15"/>
    </row>
    <row r="17" spans="2:19" ht="15.75" thickBot="1">
      <c r="B17" s="16"/>
      <c r="C17" s="11"/>
      <c r="D17" s="11"/>
      <c r="E17" s="14"/>
      <c r="F17" s="23"/>
      <c r="G17" s="11"/>
      <c r="H17" s="13"/>
      <c r="I17" s="14"/>
      <c r="J17" s="14"/>
      <c r="K17" s="14"/>
      <c r="L17" s="98"/>
      <c r="M17" s="111"/>
      <c r="N17" s="143" t="s">
        <v>39</v>
      </c>
      <c r="O17" s="150">
        <v>0.40126830000000002</v>
      </c>
      <c r="P17" s="147" t="s">
        <v>81</v>
      </c>
      <c r="Q17" s="144">
        <v>-0.14573040000000001</v>
      </c>
      <c r="R17" s="111"/>
      <c r="S17" s="15"/>
    </row>
    <row r="18" spans="2:19" ht="15.75" thickBot="1">
      <c r="B18" s="18"/>
      <c r="C18" s="19"/>
      <c r="D18" s="13"/>
      <c r="E18" s="13"/>
      <c r="F18" s="13"/>
      <c r="G18" s="13"/>
      <c r="H18" s="13"/>
      <c r="I18" s="13"/>
      <c r="J18" s="19"/>
      <c r="K18" s="13"/>
      <c r="L18" s="95"/>
      <c r="M18" s="112"/>
      <c r="N18" s="141" t="s">
        <v>42</v>
      </c>
      <c r="O18" s="149">
        <v>0.19524549999999999</v>
      </c>
      <c r="P18" s="146" t="s">
        <v>83</v>
      </c>
      <c r="Q18" s="142">
        <v>-1.8022799999999999E-2</v>
      </c>
      <c r="R18" s="112"/>
      <c r="S18" s="15"/>
    </row>
    <row r="19" spans="2:19" ht="15.75" thickBot="1">
      <c r="B19" s="18"/>
      <c r="C19" s="19"/>
      <c r="D19" s="13"/>
      <c r="E19" s="13"/>
      <c r="F19" s="13"/>
      <c r="G19" s="13"/>
      <c r="H19" s="13"/>
      <c r="I19" s="13"/>
      <c r="J19" s="19"/>
      <c r="K19" s="13"/>
      <c r="L19" s="98"/>
      <c r="M19" s="111"/>
      <c r="N19" s="143" t="s">
        <v>43</v>
      </c>
      <c r="O19" s="150">
        <v>0.31171159999999998</v>
      </c>
      <c r="P19" s="147" t="s">
        <v>87</v>
      </c>
      <c r="Q19" s="144">
        <v>-1.0712E-3</v>
      </c>
      <c r="R19" s="111"/>
      <c r="S19" s="15"/>
    </row>
    <row r="20" spans="2:19" ht="15.75" thickBot="1">
      <c r="B20" s="12"/>
      <c r="C20" s="13"/>
      <c r="D20" s="13"/>
      <c r="E20" s="13"/>
      <c r="F20" s="13"/>
      <c r="G20" s="13"/>
      <c r="H20" s="13"/>
      <c r="I20" s="13"/>
      <c r="J20" s="13"/>
      <c r="K20" s="13"/>
      <c r="L20" s="95"/>
      <c r="M20" s="112"/>
      <c r="N20" s="141" t="s">
        <v>44</v>
      </c>
      <c r="O20" s="149">
        <v>0.2455609</v>
      </c>
      <c r="P20" s="146" t="s">
        <v>85</v>
      </c>
      <c r="Q20" s="142">
        <v>0.35097050000000002</v>
      </c>
      <c r="R20" s="112"/>
      <c r="S20" s="15"/>
    </row>
    <row r="21" spans="2:19" ht="15.75" thickBot="1">
      <c r="B21" s="12"/>
      <c r="C21" s="13"/>
      <c r="D21" s="13"/>
      <c r="E21" s="13"/>
      <c r="F21" s="13"/>
      <c r="G21" s="13"/>
      <c r="H21" s="13"/>
      <c r="I21" s="13"/>
      <c r="J21" s="13"/>
      <c r="K21" s="13"/>
      <c r="L21" s="98"/>
      <c r="M21" s="111"/>
      <c r="N21" s="143" t="s">
        <v>56</v>
      </c>
      <c r="O21" s="150">
        <v>-0.2731847</v>
      </c>
      <c r="P21" s="147" t="s">
        <v>84</v>
      </c>
      <c r="Q21" s="144">
        <v>0.1379003</v>
      </c>
      <c r="R21" s="111"/>
      <c r="S21" s="15"/>
    </row>
    <row r="22" spans="2:19" ht="15.75" thickBot="1">
      <c r="B22" s="12"/>
      <c r="C22" s="13"/>
      <c r="D22" s="13"/>
      <c r="E22" s="13"/>
      <c r="F22" s="13"/>
      <c r="G22" s="13"/>
      <c r="H22" s="13"/>
      <c r="I22" s="13"/>
      <c r="J22" s="13"/>
      <c r="K22" s="13"/>
      <c r="L22" s="95"/>
      <c r="M22" s="112"/>
      <c r="N22" s="141" t="s">
        <v>46</v>
      </c>
      <c r="O22" s="149">
        <v>-0.23008120000000001</v>
      </c>
      <c r="P22" s="146" t="s">
        <v>86</v>
      </c>
      <c r="Q22" s="142">
        <v>7.2599999999999998E-2</v>
      </c>
      <c r="R22" s="112"/>
      <c r="S22" s="15"/>
    </row>
    <row r="23" spans="2:19" ht="15.75" thickBot="1">
      <c r="B23" s="12"/>
      <c r="C23" s="13"/>
      <c r="D23" s="13"/>
      <c r="E23" s="13"/>
      <c r="F23" s="13"/>
      <c r="G23" s="13"/>
      <c r="H23" s="13"/>
      <c r="I23" s="13"/>
      <c r="J23" s="13"/>
      <c r="K23" s="13"/>
      <c r="L23" s="113"/>
      <c r="M23" s="113"/>
      <c r="N23" s="143" t="s">
        <v>48</v>
      </c>
      <c r="O23" s="150">
        <v>-0.40958410000000001</v>
      </c>
      <c r="P23" s="147" t="s">
        <v>88</v>
      </c>
      <c r="Q23" s="144">
        <v>-0.31023709999999999</v>
      </c>
      <c r="R23" s="113"/>
      <c r="S23" s="15"/>
    </row>
    <row r="24" spans="2:19" ht="15.75" thickBot="1">
      <c r="B24" s="12"/>
      <c r="C24" s="13"/>
      <c r="D24" s="13"/>
      <c r="E24" s="13"/>
      <c r="F24" s="13"/>
      <c r="G24" s="13"/>
      <c r="H24" s="13"/>
      <c r="I24" s="13"/>
      <c r="J24" s="13"/>
      <c r="K24" s="13"/>
      <c r="L24" s="135"/>
      <c r="M24" s="135"/>
      <c r="N24" s="141" t="s">
        <v>50</v>
      </c>
      <c r="O24" s="149">
        <v>0.14796049999999999</v>
      </c>
      <c r="P24" s="146" t="s">
        <v>89</v>
      </c>
      <c r="Q24" s="142">
        <v>-0.50533629999999996</v>
      </c>
      <c r="R24" s="110"/>
      <c r="S24" s="15"/>
    </row>
    <row r="25" spans="2:19" ht="15.75" thickBot="1">
      <c r="B25" s="12"/>
      <c r="C25" s="13"/>
      <c r="D25" s="13"/>
      <c r="E25" s="13"/>
      <c r="F25" s="13"/>
      <c r="G25" s="13"/>
      <c r="H25" s="13"/>
      <c r="I25" s="13"/>
      <c r="J25" s="13"/>
      <c r="K25" s="13"/>
      <c r="L25" s="95"/>
      <c r="M25" s="95"/>
      <c r="N25" s="143" t="s">
        <v>49</v>
      </c>
      <c r="O25" s="150">
        <v>-0.45887420000000001</v>
      </c>
      <c r="P25" s="147" t="s">
        <v>90</v>
      </c>
      <c r="Q25" s="144">
        <v>-5.2564399999999997E-2</v>
      </c>
      <c r="R25" s="95"/>
      <c r="S25" s="15"/>
    </row>
    <row r="26" spans="2:19" ht="15.75" thickBot="1">
      <c r="B26" s="12"/>
      <c r="C26" s="13"/>
      <c r="D26" s="13"/>
      <c r="E26" s="13"/>
      <c r="F26" s="13"/>
      <c r="G26" s="13"/>
      <c r="H26" s="13"/>
      <c r="I26" s="13"/>
      <c r="J26" s="13"/>
      <c r="K26" s="13"/>
      <c r="L26" s="98"/>
      <c r="M26" s="114"/>
      <c r="N26" s="141" t="s">
        <v>52</v>
      </c>
      <c r="O26" s="149">
        <v>-0.50200370000000005</v>
      </c>
      <c r="P26" s="146" t="s">
        <v>91</v>
      </c>
      <c r="Q26" s="142">
        <v>-0.38517370000000001</v>
      </c>
      <c r="R26" s="111"/>
      <c r="S26" s="15"/>
    </row>
    <row r="27" spans="2:19" ht="15.75" thickBot="1">
      <c r="B27" s="12"/>
      <c r="C27" s="13"/>
      <c r="D27" s="13"/>
      <c r="E27" s="13"/>
      <c r="F27" s="13"/>
      <c r="G27" s="13"/>
      <c r="H27" s="13"/>
      <c r="I27" s="13"/>
      <c r="J27" s="13"/>
      <c r="K27" s="13"/>
      <c r="L27" s="95"/>
      <c r="M27" s="112"/>
      <c r="N27" s="143" t="s">
        <v>53</v>
      </c>
      <c r="O27" s="150">
        <v>-0.49706119999999998</v>
      </c>
      <c r="P27" s="147" t="s">
        <v>93</v>
      </c>
      <c r="Q27" s="144">
        <v>0.32548080000000001</v>
      </c>
      <c r="R27" s="112"/>
      <c r="S27" s="15"/>
    </row>
    <row r="28" spans="2:19" ht="15.75" thickBot="1">
      <c r="B28" s="12"/>
      <c r="C28" s="13"/>
      <c r="D28" s="13"/>
      <c r="E28" s="13"/>
      <c r="F28" s="13"/>
      <c r="G28" s="13"/>
      <c r="H28" s="13"/>
      <c r="I28" s="13"/>
      <c r="J28" s="13"/>
      <c r="K28" s="13"/>
      <c r="L28" s="98"/>
      <c r="M28" s="111"/>
      <c r="N28" s="141" t="s">
        <v>47</v>
      </c>
      <c r="O28" s="149">
        <v>-0.42575590000000002</v>
      </c>
      <c r="P28" s="146" t="s">
        <v>94</v>
      </c>
      <c r="Q28" s="142">
        <v>7.4504399999999998E-2</v>
      </c>
      <c r="R28" s="111"/>
      <c r="S28" s="15"/>
    </row>
    <row r="29" spans="2:19" ht="15.75" thickBot="1">
      <c r="B29" s="12"/>
      <c r="C29" s="13"/>
      <c r="D29" s="13"/>
      <c r="E29" s="13"/>
      <c r="F29" s="13"/>
      <c r="G29" s="13"/>
      <c r="H29" s="13"/>
      <c r="I29" s="13"/>
      <c r="J29" s="13"/>
      <c r="K29" s="13"/>
      <c r="L29" s="95"/>
      <c r="M29" s="112"/>
      <c r="N29" s="143" t="s">
        <v>55</v>
      </c>
      <c r="O29" s="150">
        <v>-0.30672139999999998</v>
      </c>
      <c r="P29" s="147" t="s">
        <v>247</v>
      </c>
      <c r="Q29" s="144">
        <v>-0.1790736</v>
      </c>
      <c r="R29" s="112"/>
      <c r="S29" s="15"/>
    </row>
    <row r="30" spans="2:19" ht="15.75" thickBot="1">
      <c r="B30" s="12"/>
      <c r="C30" s="13"/>
      <c r="D30" s="13"/>
      <c r="E30" s="13"/>
      <c r="F30" s="13"/>
      <c r="G30" s="13"/>
      <c r="H30" s="13"/>
      <c r="I30" s="13"/>
      <c r="J30" s="13"/>
      <c r="K30" s="13"/>
      <c r="L30" s="98"/>
      <c r="M30" s="111"/>
      <c r="N30" s="141" t="s">
        <v>57</v>
      </c>
      <c r="O30" s="149">
        <v>-0.32726929999999999</v>
      </c>
      <c r="P30" s="146" t="s">
        <v>97</v>
      </c>
      <c r="Q30" s="142">
        <v>-0.31534909999999999</v>
      </c>
      <c r="R30" s="114"/>
      <c r="S30" s="15"/>
    </row>
    <row r="31" spans="2:19" ht="15.75" thickBot="1">
      <c r="B31" s="12"/>
      <c r="C31" s="13"/>
      <c r="D31" s="13"/>
      <c r="E31" s="13"/>
      <c r="F31" s="13"/>
      <c r="G31" s="13"/>
      <c r="H31" s="13"/>
      <c r="I31" s="13"/>
      <c r="J31" s="13"/>
      <c r="K31" s="13"/>
      <c r="L31" s="96"/>
      <c r="M31" s="96"/>
      <c r="N31" s="143" t="s">
        <v>62</v>
      </c>
      <c r="O31" s="150">
        <v>-0.2696808</v>
      </c>
      <c r="P31" s="147" t="s">
        <v>96</v>
      </c>
      <c r="Q31" s="144">
        <v>-0.32751970000000002</v>
      </c>
      <c r="R31" s="96"/>
      <c r="S31" s="15"/>
    </row>
    <row r="32" spans="2:19" ht="15.75" thickBot="1">
      <c r="B32" s="12"/>
      <c r="C32" s="13"/>
      <c r="D32" s="13"/>
      <c r="E32" s="13"/>
      <c r="F32" s="13"/>
      <c r="G32" s="13"/>
      <c r="H32" s="13"/>
      <c r="I32" s="13"/>
      <c r="J32" s="13"/>
      <c r="K32" s="13"/>
      <c r="L32" s="135"/>
      <c r="M32" s="135"/>
      <c r="N32" s="141" t="s">
        <v>61</v>
      </c>
      <c r="O32" s="149">
        <v>0.1545396</v>
      </c>
      <c r="P32" s="146" t="s">
        <v>105</v>
      </c>
      <c r="Q32" s="142">
        <v>0.43264089999999999</v>
      </c>
      <c r="R32" s="135"/>
      <c r="S32" s="15"/>
    </row>
    <row r="33" spans="2:19" ht="15.75" thickBot="1">
      <c r="B33" s="12"/>
      <c r="C33" s="13"/>
      <c r="D33" s="13"/>
      <c r="E33" s="13"/>
      <c r="F33" s="13"/>
      <c r="G33" s="13"/>
      <c r="H33" s="13"/>
      <c r="I33" s="13"/>
      <c r="J33" s="13"/>
      <c r="K33" s="13"/>
      <c r="L33" s="95"/>
      <c r="M33" s="130"/>
      <c r="N33" s="143" t="s">
        <v>58</v>
      </c>
      <c r="O33" s="150">
        <v>0.1655305</v>
      </c>
      <c r="P33" s="147" t="s">
        <v>68</v>
      </c>
      <c r="Q33" s="144">
        <v>4.9848400000000001E-2</v>
      </c>
      <c r="R33" s="95"/>
      <c r="S33" s="15"/>
    </row>
    <row r="34" spans="2:19" ht="15.75" thickBot="1">
      <c r="B34" s="12"/>
      <c r="C34" s="13"/>
      <c r="D34" s="13"/>
      <c r="E34" s="13"/>
      <c r="F34" s="13"/>
      <c r="G34" s="13"/>
      <c r="H34" s="13"/>
      <c r="I34" s="13"/>
      <c r="J34" s="13"/>
      <c r="K34" s="13"/>
      <c r="L34" s="98"/>
      <c r="M34" s="115"/>
      <c r="N34" s="141" t="s">
        <v>59</v>
      </c>
      <c r="O34" s="149">
        <v>-0.29601569999999999</v>
      </c>
      <c r="P34" s="146" t="s">
        <v>51</v>
      </c>
      <c r="Q34" s="142">
        <v>-0.59119900000000003</v>
      </c>
      <c r="R34" s="115"/>
      <c r="S34" s="15"/>
    </row>
    <row r="35" spans="2:19" ht="15.75" thickBot="1">
      <c r="B35" s="12"/>
      <c r="C35" s="13"/>
      <c r="D35" s="13"/>
      <c r="E35" s="13"/>
      <c r="F35" s="13"/>
      <c r="G35" s="13"/>
      <c r="H35" s="13"/>
      <c r="I35" s="13"/>
      <c r="J35" s="13"/>
      <c r="K35" s="13"/>
      <c r="L35" s="131"/>
      <c r="M35" s="116"/>
      <c r="N35" s="143" t="s">
        <v>60</v>
      </c>
      <c r="O35" s="150">
        <v>-9.9263699999999996E-2</v>
      </c>
      <c r="P35" s="147" t="s">
        <v>71</v>
      </c>
      <c r="Q35" s="144">
        <v>6.7186099999999999E-2</v>
      </c>
      <c r="R35" s="116"/>
      <c r="S35" s="15"/>
    </row>
    <row r="36" spans="2:19" ht="15.75" thickBot="1">
      <c r="B36" s="12"/>
      <c r="C36" s="13"/>
      <c r="D36" s="13"/>
      <c r="E36" s="13"/>
      <c r="F36" s="13"/>
      <c r="G36" s="13"/>
      <c r="H36" s="13"/>
      <c r="I36" s="13"/>
      <c r="J36" s="13"/>
      <c r="K36" s="13"/>
      <c r="L36" s="95"/>
      <c r="M36" s="132"/>
      <c r="N36" s="141" t="s">
        <v>63</v>
      </c>
      <c r="O36" s="149">
        <v>-0.66292899999999999</v>
      </c>
      <c r="P36" s="146" t="s">
        <v>95</v>
      </c>
      <c r="Q36" s="142">
        <v>-0.3559311</v>
      </c>
      <c r="R36" s="132"/>
      <c r="S36" s="15"/>
    </row>
    <row r="37" spans="2:19" ht="15.75" thickBot="1">
      <c r="B37" s="12"/>
      <c r="C37" s="13"/>
      <c r="D37" s="13"/>
      <c r="E37" s="13"/>
      <c r="F37" s="13"/>
      <c r="G37" s="13"/>
      <c r="H37" s="13"/>
      <c r="I37" s="13"/>
      <c r="J37" s="13"/>
      <c r="K37" s="13"/>
      <c r="L37" s="133"/>
      <c r="M37" s="117"/>
      <c r="N37" s="143" t="s">
        <v>41</v>
      </c>
      <c r="O37" s="150">
        <v>-0.17778730000000001</v>
      </c>
      <c r="P37" s="147" t="s">
        <v>40</v>
      </c>
      <c r="Q37" s="144">
        <v>-0.3795288</v>
      </c>
      <c r="R37" s="117"/>
      <c r="S37" s="15"/>
    </row>
    <row r="38" spans="2:19" ht="15.75" thickBot="1">
      <c r="B38" s="12"/>
      <c r="C38" s="13"/>
      <c r="D38" s="13"/>
      <c r="E38" s="13"/>
      <c r="F38" s="13"/>
      <c r="G38" s="13"/>
      <c r="H38" s="13"/>
      <c r="I38" s="13"/>
      <c r="J38" s="13"/>
      <c r="K38" s="13"/>
      <c r="L38" s="98"/>
      <c r="M38" s="115"/>
      <c r="N38" s="141" t="s">
        <v>64</v>
      </c>
      <c r="O38" s="149">
        <v>-4.4736400000000003E-2</v>
      </c>
      <c r="P38" s="146" t="s">
        <v>101</v>
      </c>
      <c r="Q38" s="142">
        <v>9.4362299999999996E-2</v>
      </c>
      <c r="R38" s="115"/>
      <c r="S38" s="15"/>
    </row>
    <row r="39" spans="2:19" ht="15.75" thickBot="1">
      <c r="B39" s="12"/>
      <c r="C39" s="13"/>
      <c r="D39" s="13"/>
      <c r="E39" s="13"/>
      <c r="F39" s="13"/>
      <c r="G39" s="13"/>
      <c r="H39" s="13"/>
      <c r="I39" s="13"/>
      <c r="J39" s="13"/>
      <c r="K39" s="13"/>
      <c r="L39" s="134"/>
      <c r="M39" s="116"/>
      <c r="N39" s="143" t="s">
        <v>66</v>
      </c>
      <c r="O39" s="150">
        <v>-0.41020669999999998</v>
      </c>
      <c r="P39" s="147" t="s">
        <v>98</v>
      </c>
      <c r="Q39" s="144">
        <v>0.1904363</v>
      </c>
      <c r="R39" s="116"/>
      <c r="S39" s="15"/>
    </row>
    <row r="40" spans="2:19" ht="15.75" thickBot="1">
      <c r="B40" s="12"/>
      <c r="C40" s="13"/>
      <c r="D40" s="13"/>
      <c r="E40" s="13"/>
      <c r="F40" s="13"/>
      <c r="G40" s="13"/>
      <c r="H40" s="13"/>
      <c r="I40" s="13"/>
      <c r="J40" s="13"/>
      <c r="K40" s="13"/>
      <c r="L40" s="95"/>
      <c r="M40" s="132"/>
      <c r="N40" s="141" t="s">
        <v>65</v>
      </c>
      <c r="O40" s="149">
        <v>-3.75389E-2</v>
      </c>
      <c r="P40" s="146" t="s">
        <v>99</v>
      </c>
      <c r="Q40" s="142">
        <v>-0.2123767</v>
      </c>
      <c r="R40" s="132"/>
      <c r="S40" s="15"/>
    </row>
    <row r="41" spans="2:19" ht="15.75" thickBot="1">
      <c r="B41" s="12"/>
      <c r="C41" s="13"/>
      <c r="D41" s="13"/>
      <c r="E41" s="13"/>
      <c r="F41" s="13"/>
      <c r="G41" s="13"/>
      <c r="H41" s="13"/>
      <c r="I41" s="13"/>
      <c r="J41" s="13"/>
      <c r="K41" s="13"/>
      <c r="L41" s="133"/>
      <c r="M41" s="117"/>
      <c r="N41" s="143" t="s">
        <v>70</v>
      </c>
      <c r="O41" s="150">
        <v>-8.5714399999999996E-2</v>
      </c>
      <c r="P41" s="147" t="s">
        <v>100</v>
      </c>
      <c r="Q41" s="144">
        <v>2.28749E-2</v>
      </c>
      <c r="R41" s="117"/>
      <c r="S41" s="15"/>
    </row>
    <row r="42" spans="2:19" ht="15.75" thickBot="1">
      <c r="B42" s="12"/>
      <c r="C42" s="13"/>
      <c r="D42" s="13"/>
      <c r="E42" s="13"/>
      <c r="F42" s="13"/>
      <c r="G42" s="13"/>
      <c r="H42" s="13"/>
      <c r="I42" s="13"/>
      <c r="J42" s="13"/>
      <c r="K42" s="13"/>
      <c r="L42" s="98"/>
      <c r="M42" s="115"/>
      <c r="N42" s="141" t="s">
        <v>67</v>
      </c>
      <c r="O42" s="149">
        <v>8.7691000000000002E-3</v>
      </c>
      <c r="P42" s="146" t="s">
        <v>248</v>
      </c>
      <c r="Q42" s="142">
        <v>-4.1680799999999997E-2</v>
      </c>
      <c r="R42" s="115"/>
      <c r="S42" s="15"/>
    </row>
    <row r="43" spans="2:19" ht="15.75" thickBot="1">
      <c r="B43" s="12"/>
      <c r="C43" s="13"/>
      <c r="D43" s="13"/>
      <c r="E43" s="13"/>
      <c r="F43" s="13"/>
      <c r="G43" s="13"/>
      <c r="H43" s="13"/>
      <c r="I43" s="13"/>
      <c r="J43" s="13"/>
      <c r="K43" s="13"/>
      <c r="L43" s="134"/>
      <c r="M43" s="116"/>
      <c r="N43" s="143" t="s">
        <v>69</v>
      </c>
      <c r="O43" s="150">
        <v>-6.6648499999999999E-2</v>
      </c>
      <c r="P43" s="147" t="s">
        <v>102</v>
      </c>
      <c r="Q43" s="144">
        <v>-0.1182343</v>
      </c>
      <c r="R43" s="116"/>
      <c r="S43" s="15"/>
    </row>
    <row r="44" spans="2:19" ht="15.75" thickBot="1">
      <c r="B44" s="12"/>
      <c r="C44" s="13"/>
      <c r="D44" s="13"/>
      <c r="E44" s="13"/>
      <c r="F44" s="13"/>
      <c r="G44" s="13"/>
      <c r="H44" s="13"/>
      <c r="I44" s="13"/>
      <c r="J44" s="13"/>
      <c r="K44" s="13"/>
      <c r="L44" s="98"/>
      <c r="M44" s="99"/>
      <c r="N44" s="141" t="s">
        <v>74</v>
      </c>
      <c r="O44" s="149">
        <v>-0.36759989999999998</v>
      </c>
      <c r="P44" s="146" t="s">
        <v>54</v>
      </c>
      <c r="Q44" s="142">
        <v>-0.15028269999999999</v>
      </c>
      <c r="R44" s="99"/>
      <c r="S44" s="15"/>
    </row>
    <row r="45" spans="2:19" ht="15.75" thickBot="1">
      <c r="B45" s="12"/>
      <c r="C45" s="13"/>
      <c r="D45" s="13"/>
      <c r="E45" s="13"/>
      <c r="F45" s="13"/>
      <c r="G45" s="13"/>
      <c r="H45" s="13"/>
      <c r="I45" s="13"/>
      <c r="J45" s="13"/>
      <c r="K45" s="13"/>
      <c r="L45" s="95"/>
      <c r="M45" s="97"/>
      <c r="N45" s="143" t="s">
        <v>72</v>
      </c>
      <c r="O45" s="150">
        <v>-0.3850363</v>
      </c>
      <c r="P45" s="147" t="s">
        <v>107</v>
      </c>
      <c r="Q45" s="144">
        <v>0.35806880000000002</v>
      </c>
      <c r="R45" s="97"/>
      <c r="S45" s="15"/>
    </row>
    <row r="46" spans="2:19" ht="15.75" thickBot="1">
      <c r="B46" s="12"/>
      <c r="C46" s="13"/>
      <c r="D46" s="13"/>
      <c r="E46" s="13"/>
      <c r="F46" s="13"/>
      <c r="G46" s="13"/>
      <c r="H46" s="13"/>
      <c r="I46" s="13"/>
      <c r="J46" s="13"/>
      <c r="K46" s="13"/>
      <c r="L46" s="98"/>
      <c r="M46" s="99"/>
      <c r="N46" s="141" t="s">
        <v>73</v>
      </c>
      <c r="O46" s="149">
        <v>-0.37341380000000002</v>
      </c>
      <c r="P46" s="146" t="s">
        <v>104</v>
      </c>
      <c r="Q46" s="142">
        <v>-5.5820399999999999E-2</v>
      </c>
      <c r="R46" s="99"/>
      <c r="S46" s="15"/>
    </row>
    <row r="47" spans="2:19" ht="15.75" thickBot="1">
      <c r="B47" s="12"/>
      <c r="C47" s="13"/>
      <c r="D47" s="13"/>
      <c r="E47" s="13"/>
      <c r="F47" s="13"/>
      <c r="G47" s="13"/>
      <c r="H47" s="13"/>
      <c r="I47" s="13"/>
      <c r="J47" s="13"/>
      <c r="K47" s="13"/>
      <c r="L47" s="95"/>
      <c r="M47" s="97"/>
      <c r="N47" s="143" t="s">
        <v>76</v>
      </c>
      <c r="O47" s="150">
        <v>-0.24806429999999999</v>
      </c>
      <c r="P47" s="147" t="s">
        <v>106</v>
      </c>
      <c r="Q47" s="144">
        <v>-0.29906480000000002</v>
      </c>
      <c r="R47" s="100"/>
      <c r="S47" s="15"/>
    </row>
    <row r="48" spans="2:19" ht="21.75" customHeight="1" thickBot="1">
      <c r="B48" s="20"/>
      <c r="C48" s="7"/>
      <c r="D48" s="7"/>
      <c r="E48" s="7"/>
      <c r="F48" s="7"/>
      <c r="G48" s="7"/>
      <c r="H48" s="7"/>
      <c r="I48" s="7"/>
      <c r="J48" s="7"/>
      <c r="K48" s="7"/>
      <c r="L48" s="34"/>
      <c r="M48" s="34"/>
      <c r="N48" s="34"/>
      <c r="O48" s="34"/>
      <c r="P48" s="34"/>
      <c r="Q48" s="34"/>
      <c r="R48" s="34"/>
      <c r="S48" s="21"/>
    </row>
    <row r="49" spans="2:16">
      <c r="B49" s="10"/>
      <c r="C49" s="10"/>
      <c r="D49" s="10"/>
      <c r="E49" s="10"/>
      <c r="F49" s="10"/>
      <c r="G49" s="10"/>
      <c r="H49" s="10"/>
      <c r="I49" s="10"/>
      <c r="J49" s="10"/>
      <c r="K49" s="10"/>
      <c r="P49" s="139"/>
    </row>
    <row r="50" spans="2:16">
      <c r="P50" s="139"/>
    </row>
    <row r="51" spans="2:16">
      <c r="P51" s="139"/>
    </row>
    <row r="52" spans="2:16">
      <c r="P52" s="139"/>
    </row>
    <row r="53" spans="2:16">
      <c r="P53" s="139"/>
    </row>
    <row r="54" spans="2:16">
      <c r="P54" s="139"/>
    </row>
    <row r="55" spans="2:16">
      <c r="P55" s="139"/>
    </row>
    <row r="56" spans="2:16">
      <c r="P56" s="139"/>
    </row>
    <row r="57" spans="2:16">
      <c r="P57" s="139"/>
    </row>
    <row r="58" spans="2:16">
      <c r="P58" s="139"/>
    </row>
    <row r="59" spans="2:16">
      <c r="P59" s="139"/>
    </row>
    <row r="60" spans="2:16">
      <c r="P60" s="139"/>
    </row>
    <row r="61" spans="2:16">
      <c r="P61" s="139"/>
    </row>
    <row r="62" spans="2:16">
      <c r="P62" s="139"/>
    </row>
    <row r="63" spans="2:16">
      <c r="P63" s="139"/>
    </row>
    <row r="64" spans="2:16">
      <c r="P64" s="139"/>
    </row>
    <row r="65" spans="16:16">
      <c r="P65" s="139"/>
    </row>
    <row r="66" spans="16:16">
      <c r="P66" s="139"/>
    </row>
    <row r="67" spans="16:16">
      <c r="P67" s="139"/>
    </row>
    <row r="68" spans="16:16">
      <c r="P68" s="139"/>
    </row>
    <row r="69" spans="16:16">
      <c r="P69" s="139"/>
    </row>
    <row r="70" spans="16:16">
      <c r="P70" s="139"/>
    </row>
    <row r="71" spans="16:16">
      <c r="P71" s="139"/>
    </row>
    <row r="72" spans="16:16">
      <c r="P72" s="139"/>
    </row>
    <row r="73" spans="16:16">
      <c r="P73" s="139"/>
    </row>
    <row r="74" spans="16:16">
      <c r="P74" s="139"/>
    </row>
    <row r="75" spans="16:16">
      <c r="P75" s="139"/>
    </row>
    <row r="76" spans="16:16">
      <c r="P76" s="139"/>
    </row>
    <row r="77" spans="16:16">
      <c r="P77" s="139"/>
    </row>
    <row r="78" spans="16:16">
      <c r="P78" s="139"/>
    </row>
    <row r="79" spans="16:16">
      <c r="P79" s="139"/>
    </row>
    <row r="80" spans="16:16">
      <c r="P80" s="139"/>
    </row>
    <row r="81" spans="16:16">
      <c r="P81" s="139"/>
    </row>
    <row r="82" spans="16:16">
      <c r="P82" s="139"/>
    </row>
    <row r="83" spans="16:16">
      <c r="P83" s="139"/>
    </row>
    <row r="84" spans="16:16">
      <c r="P84" s="139"/>
    </row>
    <row r="85" spans="16:16">
      <c r="P85" s="139"/>
    </row>
    <row r="86" spans="16:16">
      <c r="P86" s="139"/>
    </row>
  </sheetData>
  <sheetProtection algorithmName="SHA-512" hashValue="WEcFPIYGrzQFLP2/RS63cpVoxH/lbg3fIn4tPLijhsKW5+lO/ZznNegZdpXLGfPl3ivjaZSV8+E4EnNHOG+fuQ==" saltValue="W4RGHmRv8ZvFSuL9L0H/qQ==" spinCount="100000" sheet="1" objects="1" scenarios="1"/>
  <mergeCells count="1">
    <mergeCell ref="F2:N4"/>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U86"/>
  <sheetViews>
    <sheetView workbookViewId="0"/>
  </sheetViews>
  <sheetFormatPr baseColWidth="10" defaultRowHeight="15"/>
  <cols>
    <col min="1" max="1" width="5.7109375" style="9" customWidth="1"/>
    <col min="2" max="4" width="15.7109375" style="9" customWidth="1"/>
    <col min="5" max="5" width="11.42578125" style="9" customWidth="1"/>
    <col min="6" max="6" width="19.85546875" style="9" bestFit="1" customWidth="1"/>
    <col min="7" max="7" width="11.42578125" style="9" customWidth="1"/>
    <col min="8" max="8" width="15.7109375" style="9" customWidth="1"/>
    <col min="9" max="11" width="11.42578125" style="9"/>
    <col min="12" max="12" width="10.5703125" style="9" customWidth="1"/>
    <col min="13" max="13" width="3" style="9" customWidth="1"/>
    <col min="14" max="14" width="21.42578125" style="9" customWidth="1"/>
    <col min="15" max="19" width="10.140625" style="9" customWidth="1"/>
    <col min="20" max="20" width="1" style="9" customWidth="1"/>
    <col min="21" max="21" width="2.28515625" style="9" customWidth="1"/>
    <col min="22" max="16384" width="11.42578125" style="9"/>
  </cols>
  <sheetData>
    <row r="2" spans="2:21" ht="15" customHeight="1">
      <c r="E2" s="14"/>
      <c r="F2" s="452"/>
      <c r="G2" s="452"/>
      <c r="H2" s="452"/>
      <c r="I2" s="452"/>
      <c r="J2" s="452"/>
      <c r="K2" s="452"/>
      <c r="L2" s="452"/>
      <c r="M2" s="452"/>
      <c r="N2" s="452"/>
      <c r="O2" s="420"/>
      <c r="P2" s="14"/>
    </row>
    <row r="3" spans="2:21" ht="15" customHeight="1">
      <c r="E3" s="93"/>
      <c r="F3" s="452"/>
      <c r="G3" s="452"/>
      <c r="H3" s="452"/>
      <c r="I3" s="452"/>
      <c r="J3" s="452"/>
      <c r="K3" s="452"/>
      <c r="L3" s="452"/>
      <c r="M3" s="452"/>
      <c r="N3" s="452"/>
      <c r="O3" s="420"/>
      <c r="P3" s="93"/>
    </row>
    <row r="4" spans="2:21" ht="15" customHeight="1">
      <c r="E4" s="14"/>
      <c r="F4" s="452"/>
      <c r="G4" s="452"/>
      <c r="H4" s="452"/>
      <c r="I4" s="452"/>
      <c r="J4" s="452"/>
      <c r="K4" s="452"/>
      <c r="L4" s="452"/>
      <c r="M4" s="452"/>
      <c r="N4" s="452"/>
      <c r="O4" s="420"/>
      <c r="P4" s="14"/>
    </row>
    <row r="6" spans="2:21" ht="15.75" thickBot="1"/>
    <row r="7" spans="2:21" ht="19.5" thickBot="1">
      <c r="B7" s="250"/>
      <c r="C7" s="251"/>
      <c r="D7" s="251"/>
      <c r="E7" s="251"/>
      <c r="F7" s="251"/>
      <c r="G7" s="251"/>
      <c r="H7" s="251"/>
      <c r="I7" s="251"/>
      <c r="J7" s="251"/>
      <c r="K7" s="251"/>
      <c r="L7" s="251"/>
      <c r="M7" s="251"/>
      <c r="N7" s="251"/>
      <c r="O7" s="251"/>
      <c r="P7" s="251"/>
      <c r="Q7" s="251"/>
      <c r="R7" s="251"/>
      <c r="S7" s="251"/>
      <c r="T7" s="251"/>
      <c r="U7" s="252"/>
    </row>
    <row r="8" spans="2:21">
      <c r="B8" s="12"/>
      <c r="C8" s="13"/>
      <c r="D8" s="13"/>
      <c r="E8" s="13"/>
      <c r="F8" s="13"/>
      <c r="G8" s="13"/>
      <c r="H8" s="13"/>
      <c r="I8" s="13"/>
      <c r="J8" s="13"/>
      <c r="K8" s="13"/>
      <c r="L8" s="14"/>
      <c r="M8" s="14"/>
      <c r="N8" s="14"/>
      <c r="O8" s="14"/>
      <c r="P8" s="14"/>
      <c r="Q8" s="14"/>
      <c r="R8" s="14"/>
      <c r="S8" s="14"/>
      <c r="T8" s="14"/>
      <c r="U8" s="15"/>
    </row>
    <row r="9" spans="2:21" ht="15.75" thickBot="1">
      <c r="B9" s="16"/>
      <c r="C9" s="136"/>
      <c r="D9" s="136"/>
      <c r="E9" s="14"/>
      <c r="F9" s="151"/>
      <c r="G9" s="14"/>
      <c r="H9" s="137"/>
      <c r="I9" s="137"/>
      <c r="J9" s="137"/>
      <c r="K9" s="14"/>
      <c r="L9" s="135"/>
      <c r="M9" s="135"/>
      <c r="O9" s="459" t="s">
        <v>30</v>
      </c>
      <c r="P9" s="460"/>
      <c r="Q9" s="460"/>
      <c r="R9" s="460"/>
      <c r="S9" s="461"/>
      <c r="T9" s="152"/>
      <c r="U9" s="15"/>
    </row>
    <row r="10" spans="2:21" ht="15.75" thickBot="1">
      <c r="B10" s="16"/>
      <c r="C10" s="125"/>
      <c r="D10" s="126"/>
      <c r="E10" s="14"/>
      <c r="F10" s="125"/>
      <c r="G10" s="14"/>
      <c r="H10" s="105"/>
      <c r="I10" s="106"/>
      <c r="J10" s="13"/>
      <c r="K10" s="14"/>
      <c r="L10" s="95"/>
      <c r="M10" s="95"/>
      <c r="N10" s="140" t="s">
        <v>260</v>
      </c>
      <c r="O10" s="148" t="s">
        <v>284</v>
      </c>
      <c r="P10" s="148" t="s">
        <v>108</v>
      </c>
      <c r="Q10" s="145" t="s">
        <v>17</v>
      </c>
      <c r="R10" s="140" t="s">
        <v>109</v>
      </c>
      <c r="S10" s="140" t="s">
        <v>285</v>
      </c>
      <c r="T10" s="95"/>
      <c r="U10" s="15"/>
    </row>
    <row r="11" spans="2:21" ht="15.75" thickBot="1">
      <c r="B11" s="16"/>
      <c r="C11" s="125"/>
      <c r="D11" s="126"/>
      <c r="E11" s="14"/>
      <c r="F11" s="125"/>
      <c r="G11" s="14"/>
      <c r="H11" s="127"/>
      <c r="I11" s="106"/>
      <c r="J11" s="13"/>
      <c r="K11" s="14"/>
      <c r="L11" s="98"/>
      <c r="M11" s="111"/>
      <c r="N11" s="141" t="s">
        <v>259</v>
      </c>
      <c r="O11" s="429">
        <v>-1.4094835999999999</v>
      </c>
      <c r="P11" s="429">
        <v>-0.39610879999999998</v>
      </c>
      <c r="Q11" s="430">
        <v>8.9412999999999992E-3</v>
      </c>
      <c r="R11" s="431">
        <v>0.28548240000000003</v>
      </c>
      <c r="S11" s="431">
        <v>1.2668803</v>
      </c>
      <c r="T11" s="111"/>
      <c r="U11" s="15"/>
    </row>
    <row r="12" spans="2:21" ht="15.75" thickBot="1">
      <c r="B12" s="16"/>
      <c r="C12" s="125"/>
      <c r="D12" s="128"/>
      <c r="E12" s="14"/>
      <c r="F12" s="125"/>
      <c r="G12" s="14"/>
      <c r="H12" s="105"/>
      <c r="I12" s="106"/>
      <c r="J12" s="13"/>
      <c r="K12" s="14"/>
      <c r="L12" s="95"/>
      <c r="M12" s="112"/>
      <c r="N12" s="143" t="s">
        <v>258</v>
      </c>
      <c r="O12" s="432">
        <v>-1.4823716</v>
      </c>
      <c r="P12" s="432">
        <v>-0.40551619999999999</v>
      </c>
      <c r="Q12" s="433">
        <v>2.9117899999999999E-2</v>
      </c>
      <c r="R12" s="434">
        <v>0.31621070000000001</v>
      </c>
      <c r="S12" s="434">
        <v>1.3983266000000001</v>
      </c>
      <c r="T12" s="112"/>
      <c r="U12" s="15"/>
    </row>
    <row r="13" spans="2:21" ht="15.75" thickBot="1">
      <c r="B13" s="16"/>
      <c r="C13" s="125"/>
      <c r="D13" s="128"/>
      <c r="E13" s="14"/>
      <c r="F13" s="125"/>
      <c r="G13" s="14"/>
      <c r="H13" s="105"/>
      <c r="I13" s="106"/>
      <c r="J13" s="13"/>
      <c r="K13" s="14"/>
      <c r="L13" s="98"/>
      <c r="M13" s="111"/>
      <c r="N13" s="141" t="s">
        <v>257</v>
      </c>
      <c r="O13" s="429">
        <v>-1.0341395</v>
      </c>
      <c r="P13" s="429">
        <v>-0.26536500000000002</v>
      </c>
      <c r="Q13" s="430">
        <v>3.41734E-2</v>
      </c>
      <c r="R13" s="431">
        <v>0.26465139999999998</v>
      </c>
      <c r="S13" s="431">
        <v>1.0506384</v>
      </c>
      <c r="T13" s="111"/>
      <c r="U13" s="15"/>
    </row>
    <row r="14" spans="2:21" ht="15.75" thickBot="1">
      <c r="B14" s="16"/>
      <c r="C14" s="125"/>
      <c r="D14" s="129"/>
      <c r="E14" s="14"/>
      <c r="F14" s="125"/>
      <c r="G14" s="14"/>
      <c r="H14" s="105"/>
      <c r="I14" s="106"/>
      <c r="J14" s="107"/>
      <c r="K14" s="14"/>
      <c r="L14" s="95"/>
      <c r="M14" s="112"/>
      <c r="N14" s="143" t="s">
        <v>256</v>
      </c>
      <c r="O14" s="432">
        <v>-1.2249846</v>
      </c>
      <c r="P14" s="432">
        <v>-0.34198309999999998</v>
      </c>
      <c r="Q14" s="433">
        <v>4.2600800000000001E-2</v>
      </c>
      <c r="R14" s="434">
        <v>0.24960830000000001</v>
      </c>
      <c r="S14" s="434">
        <v>1.1188513</v>
      </c>
      <c r="T14" s="112"/>
      <c r="U14" s="15"/>
    </row>
    <row r="15" spans="2:21" ht="15.75" thickBot="1">
      <c r="B15" s="16"/>
      <c r="C15" s="17"/>
      <c r="D15" s="17"/>
      <c r="E15" s="14"/>
      <c r="F15" s="127"/>
      <c r="G15" s="14"/>
      <c r="H15" s="105"/>
      <c r="I15" s="106"/>
      <c r="J15" s="107"/>
      <c r="K15" s="14"/>
      <c r="L15" s="98"/>
      <c r="M15" s="111"/>
      <c r="N15" s="141" t="s">
        <v>255</v>
      </c>
      <c r="O15" s="429">
        <v>-1.1941406000000001</v>
      </c>
      <c r="P15" s="429">
        <v>-0.30464869999999999</v>
      </c>
      <c r="Q15" s="430">
        <v>5.1864100000000003E-2</v>
      </c>
      <c r="R15" s="431">
        <v>0.29036000000000001</v>
      </c>
      <c r="S15" s="431">
        <v>1.1711465000000001</v>
      </c>
      <c r="T15" s="111"/>
      <c r="U15" s="15"/>
    </row>
    <row r="16" spans="2:21" ht="15.75" thickBot="1">
      <c r="B16" s="16"/>
      <c r="C16" s="11"/>
      <c r="D16" s="11"/>
      <c r="E16" s="14"/>
      <c r="F16" s="14"/>
      <c r="G16" s="14"/>
      <c r="H16" s="23"/>
      <c r="I16" s="11"/>
      <c r="J16" s="13"/>
      <c r="K16" s="14"/>
      <c r="L16" s="95"/>
      <c r="M16" s="112"/>
      <c r="N16" s="143" t="s">
        <v>254</v>
      </c>
      <c r="O16" s="432">
        <v>-1.1593078000000001</v>
      </c>
      <c r="P16" s="432">
        <v>-0.32667479999999999</v>
      </c>
      <c r="Q16" s="433">
        <v>6.6654500000000005E-2</v>
      </c>
      <c r="R16" s="434">
        <v>0.28156229999999999</v>
      </c>
      <c r="S16" s="434">
        <v>1.0814935999999999</v>
      </c>
      <c r="T16" s="112"/>
      <c r="U16" s="15"/>
    </row>
    <row r="17" spans="2:21" ht="15.75" thickBot="1">
      <c r="B17" s="16"/>
      <c r="C17" s="11"/>
      <c r="D17" s="11"/>
      <c r="E17" s="14"/>
      <c r="F17" s="23"/>
      <c r="G17" s="11"/>
      <c r="H17" s="13"/>
      <c r="I17" s="14"/>
      <c r="J17" s="14"/>
      <c r="K17" s="14"/>
      <c r="L17" s="98"/>
      <c r="M17" s="111"/>
      <c r="N17" s="141" t="s">
        <v>253</v>
      </c>
      <c r="O17" s="429">
        <v>-1.2367927999999999</v>
      </c>
      <c r="P17" s="429">
        <v>-0.29418169999999999</v>
      </c>
      <c r="Q17" s="430">
        <v>8.4021899999999997E-2</v>
      </c>
      <c r="R17" s="431">
        <v>0.35988930000000002</v>
      </c>
      <c r="S17" s="431">
        <v>1.3263252000000001</v>
      </c>
      <c r="T17" s="111"/>
      <c r="U17" s="15"/>
    </row>
    <row r="18" spans="2:21" ht="15.75" thickBot="1">
      <c r="B18" s="18"/>
      <c r="C18" s="19"/>
      <c r="D18" s="13"/>
      <c r="E18" s="13"/>
      <c r="F18" s="13"/>
      <c r="G18" s="13"/>
      <c r="H18" s="13"/>
      <c r="I18" s="13"/>
      <c r="J18" s="19"/>
      <c r="K18" s="13"/>
      <c r="L18" s="95"/>
      <c r="M18" s="112"/>
      <c r="N18" s="143" t="s">
        <v>252</v>
      </c>
      <c r="O18" s="432">
        <v>-0.96835437000000002</v>
      </c>
      <c r="P18" s="432">
        <v>-0.20789750000000001</v>
      </c>
      <c r="Q18" s="433">
        <v>8.9649099999999995E-2</v>
      </c>
      <c r="R18" s="434">
        <v>0.2991029</v>
      </c>
      <c r="S18" s="434">
        <v>1.0421753</v>
      </c>
      <c r="T18" s="112"/>
      <c r="U18" s="15"/>
    </row>
    <row r="19" spans="2:21" ht="15.75" thickBot="1">
      <c r="B19" s="18"/>
      <c r="C19" s="19"/>
      <c r="D19" s="13"/>
      <c r="E19" s="13"/>
      <c r="F19" s="13"/>
      <c r="G19" s="13"/>
      <c r="H19" s="13"/>
      <c r="I19" s="13"/>
      <c r="J19" s="19"/>
      <c r="K19" s="13"/>
      <c r="L19" s="98"/>
      <c r="M19" s="111"/>
      <c r="N19" s="141" t="s">
        <v>251</v>
      </c>
      <c r="O19" s="429">
        <v>-1.0369504</v>
      </c>
      <c r="P19" s="429">
        <v>-0.19535250000000001</v>
      </c>
      <c r="Q19" s="430">
        <v>0.1596543</v>
      </c>
      <c r="R19" s="431">
        <v>0.37437920000000002</v>
      </c>
      <c r="S19" s="431">
        <v>1.1058698</v>
      </c>
      <c r="T19" s="111"/>
      <c r="U19" s="15"/>
    </row>
    <row r="20" spans="2:21" ht="15.75" thickBot="1">
      <c r="B20" s="12"/>
      <c r="C20" s="13"/>
      <c r="D20" s="13"/>
      <c r="E20" s="13"/>
      <c r="F20" s="13"/>
      <c r="G20" s="13"/>
      <c r="H20" s="13"/>
      <c r="I20" s="13"/>
      <c r="J20" s="13"/>
      <c r="K20" s="13"/>
      <c r="L20" s="95"/>
      <c r="M20" s="112"/>
      <c r="N20" s="143" t="s">
        <v>250</v>
      </c>
      <c r="O20" s="432">
        <v>-1.0288432000000001</v>
      </c>
      <c r="P20" s="432">
        <v>-4.4764600000000002E-2</v>
      </c>
      <c r="Q20" s="433">
        <v>0.2489459</v>
      </c>
      <c r="R20" s="434">
        <v>0.61750640000000001</v>
      </c>
      <c r="S20" s="434">
        <v>1.6050187</v>
      </c>
      <c r="T20" s="112"/>
      <c r="U20" s="15"/>
    </row>
    <row r="21" spans="2:21" ht="15.75" thickBot="1">
      <c r="B21" s="12"/>
      <c r="C21" s="13"/>
      <c r="D21" s="13"/>
      <c r="E21" s="13"/>
      <c r="F21" s="13"/>
      <c r="G21" s="13"/>
      <c r="H21" s="13"/>
      <c r="I21" s="13"/>
      <c r="J21" s="13"/>
      <c r="K21" s="13"/>
      <c r="L21" s="98"/>
      <c r="M21" s="111"/>
      <c r="N21" s="141" t="s">
        <v>249</v>
      </c>
      <c r="O21" s="429">
        <v>-1.1554639</v>
      </c>
      <c r="P21" s="429">
        <v>5.0099100000000001E-2</v>
      </c>
      <c r="Q21" s="430">
        <v>0.31806600000000002</v>
      </c>
      <c r="R21" s="431">
        <v>0.85872170000000003</v>
      </c>
      <c r="S21" s="431">
        <v>2.0684515999999999</v>
      </c>
      <c r="T21" s="111"/>
      <c r="U21" s="15"/>
    </row>
    <row r="22" spans="2:21">
      <c r="B22" s="12"/>
      <c r="C22" s="13"/>
      <c r="D22" s="13"/>
      <c r="E22" s="13"/>
      <c r="F22" s="13"/>
      <c r="G22" s="13"/>
      <c r="H22" s="13"/>
      <c r="I22" s="13"/>
      <c r="J22" s="13"/>
      <c r="K22" s="13"/>
      <c r="L22" s="95"/>
      <c r="M22" s="112"/>
      <c r="T22" s="112"/>
      <c r="U22" s="15"/>
    </row>
    <row r="23" spans="2:21">
      <c r="B23" s="12"/>
      <c r="C23" s="13"/>
      <c r="D23" s="13"/>
      <c r="E23" s="13"/>
      <c r="F23" s="13"/>
      <c r="G23" s="13"/>
      <c r="H23" s="13"/>
      <c r="I23" s="13"/>
      <c r="J23" s="13"/>
      <c r="K23" s="13"/>
      <c r="L23" s="113"/>
      <c r="M23" s="113"/>
      <c r="T23" s="113"/>
      <c r="U23" s="15"/>
    </row>
    <row r="24" spans="2:21">
      <c r="B24" s="12"/>
      <c r="C24" s="13"/>
      <c r="D24" s="13"/>
      <c r="E24" s="13"/>
      <c r="F24" s="13"/>
      <c r="G24" s="13"/>
      <c r="H24" s="13"/>
      <c r="I24" s="13"/>
      <c r="J24" s="13"/>
      <c r="K24" s="13"/>
      <c r="L24" s="135"/>
      <c r="M24" s="135"/>
      <c r="T24" s="152"/>
      <c r="U24" s="15"/>
    </row>
    <row r="25" spans="2:21">
      <c r="B25" s="12"/>
      <c r="C25" s="13"/>
      <c r="D25" s="13"/>
      <c r="E25" s="13"/>
      <c r="F25" s="13"/>
      <c r="G25" s="13"/>
      <c r="H25" s="13"/>
      <c r="I25" s="13"/>
      <c r="J25" s="13"/>
      <c r="K25" s="13"/>
      <c r="L25" s="95"/>
      <c r="M25" s="95"/>
      <c r="T25" s="95"/>
      <c r="U25" s="15"/>
    </row>
    <row r="26" spans="2:21">
      <c r="B26" s="12"/>
      <c r="C26" s="13"/>
      <c r="D26" s="13"/>
      <c r="E26" s="13"/>
      <c r="F26" s="13"/>
      <c r="G26" s="13"/>
      <c r="H26" s="13"/>
      <c r="I26" s="13"/>
      <c r="J26" s="13"/>
      <c r="K26" s="13"/>
      <c r="L26" s="98"/>
      <c r="M26" s="114"/>
      <c r="T26" s="111"/>
      <c r="U26" s="15"/>
    </row>
    <row r="27" spans="2:21">
      <c r="B27" s="12"/>
      <c r="C27" s="13"/>
      <c r="D27" s="13"/>
      <c r="E27" s="13"/>
      <c r="F27" s="13"/>
      <c r="G27" s="13"/>
      <c r="H27" s="13"/>
      <c r="I27" s="13"/>
      <c r="J27" s="13"/>
      <c r="K27" s="13"/>
      <c r="L27" s="95"/>
      <c r="M27" s="112"/>
      <c r="T27" s="112"/>
      <c r="U27" s="15"/>
    </row>
    <row r="28" spans="2:21">
      <c r="B28" s="12"/>
      <c r="C28" s="13"/>
      <c r="D28" s="13"/>
      <c r="E28" s="13"/>
      <c r="F28" s="13"/>
      <c r="G28" s="13"/>
      <c r="H28" s="13"/>
      <c r="I28" s="13"/>
      <c r="J28" s="13"/>
      <c r="K28" s="13"/>
      <c r="L28" s="98"/>
      <c r="M28" s="111"/>
      <c r="T28" s="111"/>
      <c r="U28" s="15"/>
    </row>
    <row r="29" spans="2:21">
      <c r="B29" s="12"/>
      <c r="C29" s="13"/>
      <c r="D29" s="13"/>
      <c r="E29" s="13"/>
      <c r="F29" s="13"/>
      <c r="G29" s="13"/>
      <c r="H29" s="13"/>
      <c r="I29" s="13"/>
      <c r="J29" s="13"/>
      <c r="K29" s="13"/>
      <c r="L29" s="95"/>
      <c r="M29" s="112"/>
      <c r="T29" s="112"/>
      <c r="U29" s="15"/>
    </row>
    <row r="30" spans="2:21">
      <c r="B30" s="12"/>
      <c r="C30" s="13"/>
      <c r="D30" s="13"/>
      <c r="E30" s="13"/>
      <c r="F30" s="13"/>
      <c r="G30" s="13"/>
      <c r="H30" s="13"/>
      <c r="I30" s="13"/>
      <c r="J30" s="13"/>
      <c r="K30" s="13"/>
      <c r="L30" s="98"/>
      <c r="M30" s="111"/>
      <c r="T30" s="114"/>
      <c r="U30" s="15"/>
    </row>
    <row r="31" spans="2:21" ht="15.75" thickBot="1">
      <c r="B31" s="12"/>
      <c r="C31" s="13"/>
      <c r="D31" s="13"/>
      <c r="E31" s="13"/>
      <c r="F31" s="13"/>
      <c r="G31" s="13"/>
      <c r="H31" s="13"/>
      <c r="I31" s="13"/>
      <c r="J31" s="13"/>
      <c r="K31" s="13"/>
      <c r="L31" s="96"/>
      <c r="M31" s="96"/>
      <c r="T31" s="96"/>
      <c r="U31" s="15"/>
    </row>
    <row r="32" spans="2:21" ht="15.75" thickBot="1">
      <c r="B32" s="12"/>
      <c r="C32" s="13"/>
      <c r="D32" s="13"/>
      <c r="E32" s="13"/>
      <c r="F32" s="13"/>
      <c r="G32" s="13"/>
      <c r="H32" s="13"/>
      <c r="I32" s="13"/>
      <c r="J32" s="13"/>
      <c r="K32" s="13"/>
      <c r="L32" s="135"/>
      <c r="M32" s="135"/>
      <c r="N32" s="165"/>
      <c r="O32" s="423"/>
      <c r="P32" s="166"/>
      <c r="Q32" s="167"/>
      <c r="R32" s="168"/>
      <c r="S32" s="130"/>
      <c r="T32" s="135"/>
      <c r="U32" s="15"/>
    </row>
    <row r="33" spans="2:21" ht="15.75" thickBot="1">
      <c r="B33" s="12"/>
      <c r="C33" s="13"/>
      <c r="D33" s="13"/>
      <c r="E33" s="13"/>
      <c r="F33" s="13"/>
      <c r="G33" s="13"/>
      <c r="H33" s="13"/>
      <c r="I33" s="13"/>
      <c r="J33" s="13"/>
      <c r="K33" s="13"/>
      <c r="L33" s="95"/>
      <c r="M33" s="130"/>
      <c r="N33" s="161"/>
      <c r="O33" s="424"/>
      <c r="P33" s="162"/>
      <c r="Q33" s="163"/>
      <c r="R33" s="164"/>
      <c r="S33" s="425"/>
      <c r="T33" s="95"/>
      <c r="U33" s="15"/>
    </row>
    <row r="34" spans="2:21" ht="15.75" thickBot="1">
      <c r="B34" s="12"/>
      <c r="C34" s="13"/>
      <c r="D34" s="13"/>
      <c r="E34" s="13"/>
      <c r="F34" s="13"/>
      <c r="G34" s="13"/>
      <c r="H34" s="13"/>
      <c r="I34" s="13"/>
      <c r="J34" s="13"/>
      <c r="K34" s="13"/>
      <c r="L34" s="98"/>
      <c r="M34" s="115"/>
      <c r="N34" s="165"/>
      <c r="O34" s="423"/>
      <c r="P34" s="166"/>
      <c r="Q34" s="167"/>
      <c r="R34" s="168"/>
      <c r="S34" s="130"/>
      <c r="T34" s="115"/>
      <c r="U34" s="15"/>
    </row>
    <row r="35" spans="2:21" ht="15.75" thickBot="1">
      <c r="B35" s="12"/>
      <c r="C35" s="13"/>
      <c r="D35" s="13"/>
      <c r="E35" s="13"/>
      <c r="F35" s="13"/>
      <c r="G35" s="13"/>
      <c r="H35" s="13"/>
      <c r="I35" s="13"/>
      <c r="J35" s="13"/>
      <c r="K35" s="13"/>
      <c r="L35" s="131"/>
      <c r="M35" s="116"/>
      <c r="N35" s="161"/>
      <c r="O35" s="424"/>
      <c r="P35" s="162"/>
      <c r="Q35" s="163"/>
      <c r="R35" s="164"/>
      <c r="S35" s="425"/>
      <c r="T35" s="116"/>
      <c r="U35" s="15"/>
    </row>
    <row r="36" spans="2:21" ht="15.75" thickBot="1">
      <c r="B36" s="12"/>
      <c r="C36" s="13"/>
      <c r="D36" s="13"/>
      <c r="E36" s="13"/>
      <c r="F36" s="13"/>
      <c r="G36" s="13"/>
      <c r="H36" s="13"/>
      <c r="I36" s="13"/>
      <c r="J36" s="13"/>
      <c r="K36" s="13"/>
      <c r="L36" s="95"/>
      <c r="M36" s="132"/>
      <c r="N36" s="165"/>
      <c r="O36" s="423"/>
      <c r="P36" s="166"/>
      <c r="Q36" s="167"/>
      <c r="R36" s="168"/>
      <c r="S36" s="130"/>
      <c r="T36" s="132"/>
      <c r="U36" s="15"/>
    </row>
    <row r="37" spans="2:21" ht="15.75" thickBot="1">
      <c r="B37" s="12"/>
      <c r="C37" s="13"/>
      <c r="D37" s="13"/>
      <c r="E37" s="13"/>
      <c r="F37" s="13"/>
      <c r="G37" s="13"/>
      <c r="H37" s="13"/>
      <c r="I37" s="13"/>
      <c r="J37" s="13"/>
      <c r="K37" s="13"/>
      <c r="L37" s="133"/>
      <c r="M37" s="117"/>
      <c r="N37" s="161"/>
      <c r="O37" s="424"/>
      <c r="P37" s="162"/>
      <c r="Q37" s="163"/>
      <c r="R37" s="164"/>
      <c r="S37" s="425"/>
      <c r="T37" s="117"/>
      <c r="U37" s="15"/>
    </row>
    <row r="38" spans="2:21" ht="15.75" thickBot="1">
      <c r="B38" s="12"/>
      <c r="C38" s="13"/>
      <c r="D38" s="13"/>
      <c r="E38" s="13"/>
      <c r="F38" s="13"/>
      <c r="G38" s="13"/>
      <c r="H38" s="13"/>
      <c r="I38" s="13"/>
      <c r="J38" s="13"/>
      <c r="K38" s="13"/>
      <c r="L38" s="98"/>
      <c r="M38" s="115"/>
      <c r="N38" s="165"/>
      <c r="O38" s="423"/>
      <c r="P38" s="166"/>
      <c r="Q38" s="167"/>
      <c r="R38" s="168"/>
      <c r="S38" s="130"/>
      <c r="T38" s="115"/>
      <c r="U38" s="15"/>
    </row>
    <row r="39" spans="2:21" ht="15.75" thickBot="1">
      <c r="B39" s="12"/>
      <c r="C39" s="13"/>
      <c r="D39" s="13"/>
      <c r="E39" s="13"/>
      <c r="F39" s="13"/>
      <c r="G39" s="13"/>
      <c r="H39" s="13"/>
      <c r="I39" s="13"/>
      <c r="J39" s="13"/>
      <c r="K39" s="13"/>
      <c r="L39" s="134"/>
      <c r="M39" s="116"/>
      <c r="N39" s="161"/>
      <c r="O39" s="424"/>
      <c r="P39" s="162"/>
      <c r="Q39" s="163"/>
      <c r="R39" s="164"/>
      <c r="S39" s="425"/>
      <c r="T39" s="116"/>
      <c r="U39" s="15"/>
    </row>
    <row r="40" spans="2:21" ht="15.75" thickBot="1">
      <c r="B40" s="12"/>
      <c r="C40" s="13"/>
      <c r="D40" s="13"/>
      <c r="E40" s="13"/>
      <c r="F40" s="13"/>
      <c r="G40" s="13"/>
      <c r="H40" s="13"/>
      <c r="I40" s="13"/>
      <c r="J40" s="13"/>
      <c r="K40" s="13"/>
      <c r="L40" s="95"/>
      <c r="M40" s="132"/>
      <c r="N40" s="165"/>
      <c r="O40" s="423"/>
      <c r="P40" s="166"/>
      <c r="Q40" s="167"/>
      <c r="R40" s="168"/>
      <c r="S40" s="130"/>
      <c r="T40" s="132"/>
      <c r="U40" s="15"/>
    </row>
    <row r="41" spans="2:21" ht="15.75" thickBot="1">
      <c r="B41" s="12"/>
      <c r="C41" s="13"/>
      <c r="D41" s="13"/>
      <c r="E41" s="13"/>
      <c r="F41" s="13"/>
      <c r="G41" s="13"/>
      <c r="H41" s="13"/>
      <c r="I41" s="13"/>
      <c r="J41" s="13"/>
      <c r="K41" s="13"/>
      <c r="L41" s="133"/>
      <c r="M41" s="117"/>
      <c r="N41" s="161"/>
      <c r="O41" s="424"/>
      <c r="P41" s="162"/>
      <c r="Q41" s="163"/>
      <c r="R41" s="164"/>
      <c r="S41" s="425"/>
      <c r="T41" s="117"/>
      <c r="U41" s="15"/>
    </row>
    <row r="42" spans="2:21" ht="15.75" thickBot="1">
      <c r="B42" s="12"/>
      <c r="C42" s="13"/>
      <c r="D42" s="13"/>
      <c r="E42" s="13"/>
      <c r="F42" s="13"/>
      <c r="G42" s="13"/>
      <c r="H42" s="13"/>
      <c r="I42" s="13"/>
      <c r="J42" s="13"/>
      <c r="K42" s="13"/>
      <c r="L42" s="98"/>
      <c r="M42" s="115"/>
      <c r="N42" s="165"/>
      <c r="O42" s="423"/>
      <c r="P42" s="166"/>
      <c r="Q42" s="167"/>
      <c r="R42" s="168"/>
      <c r="S42" s="130"/>
      <c r="T42" s="115"/>
      <c r="U42" s="15"/>
    </row>
    <row r="43" spans="2:21" ht="15.75" thickBot="1">
      <c r="B43" s="12"/>
      <c r="C43" s="13"/>
      <c r="D43" s="13"/>
      <c r="E43" s="13"/>
      <c r="F43" s="13"/>
      <c r="G43" s="13"/>
      <c r="H43" s="13"/>
      <c r="I43" s="13"/>
      <c r="J43" s="13"/>
      <c r="K43" s="13"/>
      <c r="L43" s="134"/>
      <c r="M43" s="116"/>
      <c r="N43" s="161"/>
      <c r="O43" s="424"/>
      <c r="P43" s="162"/>
      <c r="Q43" s="163"/>
      <c r="R43" s="164"/>
      <c r="S43" s="425"/>
      <c r="T43" s="116"/>
      <c r="U43" s="15"/>
    </row>
    <row r="44" spans="2:21" ht="15.75" thickBot="1">
      <c r="B44" s="12"/>
      <c r="C44" s="13"/>
      <c r="D44" s="13"/>
      <c r="E44" s="13"/>
      <c r="F44" s="13"/>
      <c r="G44" s="13"/>
      <c r="H44" s="13"/>
      <c r="I44" s="13"/>
      <c r="J44" s="13"/>
      <c r="K44" s="13"/>
      <c r="L44" s="98"/>
      <c r="M44" s="99"/>
      <c r="N44" s="165"/>
      <c r="O44" s="423"/>
      <c r="P44" s="166"/>
      <c r="Q44" s="167"/>
      <c r="R44" s="168"/>
      <c r="S44" s="130"/>
      <c r="T44" s="99"/>
      <c r="U44" s="15"/>
    </row>
    <row r="45" spans="2:21" ht="15.75" thickBot="1">
      <c r="B45" s="12"/>
      <c r="C45" s="13"/>
      <c r="D45" s="13"/>
      <c r="E45" s="13"/>
      <c r="F45" s="13"/>
      <c r="G45" s="13"/>
      <c r="H45" s="13"/>
      <c r="I45" s="13"/>
      <c r="J45" s="13"/>
      <c r="K45" s="13"/>
      <c r="L45" s="95"/>
      <c r="M45" s="97"/>
      <c r="N45" s="161"/>
      <c r="O45" s="424"/>
      <c r="P45" s="162"/>
      <c r="Q45" s="163"/>
      <c r="R45" s="164"/>
      <c r="S45" s="425"/>
      <c r="T45" s="97"/>
      <c r="U45" s="15"/>
    </row>
    <row r="46" spans="2:21" ht="15.75" thickBot="1">
      <c r="B46" s="12"/>
      <c r="C46" s="13"/>
      <c r="D46" s="13"/>
      <c r="E46" s="13"/>
      <c r="F46" s="13"/>
      <c r="G46" s="13"/>
      <c r="H46" s="13"/>
      <c r="I46" s="13"/>
      <c r="J46" s="13"/>
      <c r="K46" s="13"/>
      <c r="L46" s="98"/>
      <c r="M46" s="99"/>
      <c r="N46" s="165"/>
      <c r="O46" s="423"/>
      <c r="P46" s="166"/>
      <c r="Q46" s="167"/>
      <c r="R46" s="168"/>
      <c r="S46" s="130"/>
      <c r="T46" s="99"/>
      <c r="U46" s="15"/>
    </row>
    <row r="47" spans="2:21" ht="15.75" thickBot="1">
      <c r="B47" s="12"/>
      <c r="C47" s="13"/>
      <c r="D47" s="13"/>
      <c r="E47" s="13"/>
      <c r="F47" s="13"/>
      <c r="G47" s="13"/>
      <c r="H47" s="13"/>
      <c r="I47" s="13"/>
      <c r="J47" s="13"/>
      <c r="K47" s="13"/>
      <c r="L47" s="95"/>
      <c r="M47" s="97"/>
      <c r="N47" s="161"/>
      <c r="O47" s="424"/>
      <c r="P47" s="162"/>
      <c r="Q47" s="163"/>
      <c r="R47" s="164"/>
      <c r="S47" s="425"/>
      <c r="T47" s="100"/>
      <c r="U47" s="15"/>
    </row>
    <row r="48" spans="2:21" ht="21.75" customHeight="1" thickBot="1">
      <c r="B48" s="20"/>
      <c r="C48" s="7"/>
      <c r="D48" s="7"/>
      <c r="E48" s="7"/>
      <c r="F48" s="7"/>
      <c r="G48" s="7"/>
      <c r="H48" s="7"/>
      <c r="I48" s="7"/>
      <c r="J48" s="7"/>
      <c r="K48" s="7"/>
      <c r="L48" s="34"/>
      <c r="M48" s="34"/>
      <c r="N48" s="34"/>
      <c r="O48" s="34"/>
      <c r="P48" s="34"/>
      <c r="Q48" s="34"/>
      <c r="R48" s="34"/>
      <c r="S48" s="34"/>
      <c r="T48" s="34"/>
      <c r="U48" s="21"/>
    </row>
    <row r="49" spans="2:17">
      <c r="B49" s="10"/>
      <c r="C49" s="10"/>
      <c r="D49" s="10"/>
      <c r="E49" s="10"/>
      <c r="F49" s="10"/>
      <c r="G49" s="10"/>
      <c r="H49" s="10"/>
      <c r="I49" s="10"/>
      <c r="J49" s="10"/>
      <c r="K49" s="10"/>
      <c r="Q49" s="139"/>
    </row>
    <row r="50" spans="2:17">
      <c r="Q50" s="139"/>
    </row>
    <row r="51" spans="2:17">
      <c r="Q51" s="139"/>
    </row>
    <row r="52" spans="2:17">
      <c r="Q52" s="139"/>
    </row>
    <row r="53" spans="2:17">
      <c r="Q53" s="139"/>
    </row>
    <row r="54" spans="2:17">
      <c r="Q54" s="139"/>
    </row>
    <row r="55" spans="2:17">
      <c r="Q55" s="139"/>
    </row>
    <row r="56" spans="2:17">
      <c r="Q56" s="139"/>
    </row>
    <row r="57" spans="2:17">
      <c r="Q57" s="139"/>
    </row>
    <row r="58" spans="2:17">
      <c r="Q58" s="139"/>
    </row>
    <row r="59" spans="2:17">
      <c r="Q59" s="139"/>
    </row>
    <row r="60" spans="2:17">
      <c r="Q60" s="139"/>
    </row>
    <row r="61" spans="2:17">
      <c r="Q61" s="139"/>
    </row>
    <row r="62" spans="2:17">
      <c r="Q62" s="139"/>
    </row>
    <row r="63" spans="2:17">
      <c r="Q63" s="139"/>
    </row>
    <row r="64" spans="2:17">
      <c r="Q64" s="139"/>
    </row>
    <row r="65" spans="17:17">
      <c r="Q65" s="139"/>
    </row>
    <row r="66" spans="17:17">
      <c r="Q66" s="139"/>
    </row>
    <row r="67" spans="17:17">
      <c r="Q67" s="139"/>
    </row>
    <row r="68" spans="17:17">
      <c r="Q68" s="139"/>
    </row>
    <row r="69" spans="17:17">
      <c r="Q69" s="139"/>
    </row>
    <row r="70" spans="17:17">
      <c r="Q70" s="139"/>
    </row>
    <row r="71" spans="17:17">
      <c r="Q71" s="139"/>
    </row>
    <row r="72" spans="17:17">
      <c r="Q72" s="139"/>
    </row>
    <row r="73" spans="17:17">
      <c r="Q73" s="139"/>
    </row>
    <row r="74" spans="17:17">
      <c r="Q74" s="139"/>
    </row>
    <row r="75" spans="17:17">
      <c r="Q75" s="139"/>
    </row>
    <row r="76" spans="17:17">
      <c r="Q76" s="139"/>
    </row>
    <row r="77" spans="17:17">
      <c r="Q77" s="139"/>
    </row>
    <row r="78" spans="17:17">
      <c r="Q78" s="139"/>
    </row>
    <row r="79" spans="17:17">
      <c r="Q79" s="139"/>
    </row>
    <row r="80" spans="17:17">
      <c r="Q80" s="139"/>
    </row>
    <row r="81" spans="17:17">
      <c r="Q81" s="139"/>
    </row>
    <row r="82" spans="17:17">
      <c r="Q82" s="139"/>
    </row>
    <row r="83" spans="17:17">
      <c r="Q83" s="139"/>
    </row>
    <row r="84" spans="17:17">
      <c r="Q84" s="139"/>
    </row>
    <row r="85" spans="17:17">
      <c r="Q85" s="139"/>
    </row>
    <row r="86" spans="17:17">
      <c r="Q86" s="139"/>
    </row>
  </sheetData>
  <sheetProtection algorithmName="SHA-512" hashValue="VtdUaNrF8jU4egFJ2EqNMmFnqF7nlbI/j3yjuETJhwW0fB8I7EtucfdpLvLSnryQQYox4CNT1WK5oT0eUXEsAA==" saltValue="+ExIx5FPwoe7+voeKrtHwA==" spinCount="100000" sheet="1" objects="1" scenarios="1"/>
  <mergeCells count="2">
    <mergeCell ref="F2:N4"/>
    <mergeCell ref="O9:S9"/>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86"/>
  <sheetViews>
    <sheetView topLeftCell="A16" workbookViewId="0">
      <selection activeCell="N24" sqref="N24"/>
    </sheetView>
  </sheetViews>
  <sheetFormatPr baseColWidth="10" defaultRowHeight="15"/>
  <cols>
    <col min="1" max="1" width="5.7109375" style="9" customWidth="1"/>
    <col min="2" max="4" width="15.7109375" style="9" customWidth="1"/>
    <col min="5" max="5" width="11.42578125" style="9" customWidth="1"/>
    <col min="6" max="6" width="19.85546875" style="9" bestFit="1" customWidth="1"/>
    <col min="7" max="7" width="11.42578125" style="9" customWidth="1"/>
    <col min="8" max="8" width="15.7109375" style="9" customWidth="1"/>
    <col min="9" max="11" width="11.42578125" style="9"/>
    <col min="12" max="12" width="10.5703125" style="9" customWidth="1"/>
    <col min="13" max="13" width="3" style="9" customWidth="1"/>
    <col min="14" max="14" width="18.7109375" style="9" customWidth="1"/>
    <col min="15" max="15" width="11.7109375" style="9" bestFit="1" customWidth="1"/>
    <col min="16" max="16" width="20.28515625" style="9" bestFit="1" customWidth="1"/>
    <col min="17" max="17" width="11.7109375" style="9" bestFit="1" customWidth="1"/>
    <col min="18" max="18" width="9.5703125" style="9" customWidth="1"/>
    <col min="19" max="19" width="2" style="9" customWidth="1"/>
    <col min="20" max="16384" width="11.42578125" style="9"/>
  </cols>
  <sheetData>
    <row r="2" spans="2:19" ht="15" customHeight="1">
      <c r="E2" s="14"/>
      <c r="F2" s="452"/>
      <c r="G2" s="452"/>
      <c r="H2" s="452"/>
      <c r="I2" s="452"/>
      <c r="J2" s="452"/>
      <c r="K2" s="452"/>
      <c r="L2" s="452"/>
      <c r="M2" s="452"/>
      <c r="N2" s="452"/>
      <c r="O2" s="14"/>
    </row>
    <row r="3" spans="2:19" ht="15" customHeight="1">
      <c r="E3" s="93"/>
      <c r="F3" s="452"/>
      <c r="G3" s="452"/>
      <c r="H3" s="452"/>
      <c r="I3" s="452"/>
      <c r="J3" s="452"/>
      <c r="K3" s="452"/>
      <c r="L3" s="452"/>
      <c r="M3" s="452"/>
      <c r="N3" s="452"/>
      <c r="O3" s="93"/>
    </row>
    <row r="4" spans="2:19" ht="15" customHeight="1">
      <c r="E4" s="14"/>
      <c r="F4" s="452"/>
      <c r="G4" s="452"/>
      <c r="H4" s="452"/>
      <c r="I4" s="452"/>
      <c r="J4" s="452"/>
      <c r="K4" s="452"/>
      <c r="L4" s="452"/>
      <c r="M4" s="452"/>
      <c r="N4" s="452"/>
      <c r="O4" s="14"/>
    </row>
    <row r="6" spans="2:19" ht="15.75" thickBot="1"/>
    <row r="7" spans="2:19" ht="19.5" thickBot="1">
      <c r="B7" s="250"/>
      <c r="C7" s="251"/>
      <c r="D7" s="251"/>
      <c r="E7" s="251"/>
      <c r="F7" s="251"/>
      <c r="G7" s="251"/>
      <c r="H7" s="251"/>
      <c r="I7" s="251"/>
      <c r="J7" s="251"/>
      <c r="K7" s="251"/>
      <c r="L7" s="251"/>
      <c r="M7" s="251"/>
      <c r="N7" s="251"/>
      <c r="O7" s="251"/>
      <c r="P7" s="251"/>
      <c r="Q7" s="251"/>
      <c r="R7" s="251"/>
      <c r="S7" s="252"/>
    </row>
    <row r="8" spans="2:19">
      <c r="B8" s="12"/>
      <c r="C8" s="13"/>
      <c r="D8" s="13"/>
      <c r="E8" s="13"/>
      <c r="F8" s="13"/>
      <c r="G8" s="13"/>
      <c r="H8" s="13"/>
      <c r="I8" s="13"/>
      <c r="J8" s="13"/>
      <c r="K8" s="13"/>
      <c r="L8" s="14"/>
      <c r="M8" s="14"/>
      <c r="N8" s="14"/>
      <c r="O8" s="14"/>
      <c r="P8" s="14"/>
      <c r="Q8" s="14"/>
      <c r="R8" s="14"/>
      <c r="S8" s="15"/>
    </row>
    <row r="9" spans="2:19" ht="15.75" thickBot="1">
      <c r="B9" s="16"/>
      <c r="C9" s="136"/>
      <c r="D9" s="136"/>
      <c r="E9" s="14"/>
      <c r="F9" s="171"/>
      <c r="G9" s="14"/>
      <c r="H9" s="137"/>
      <c r="I9" s="137"/>
      <c r="J9" s="137"/>
      <c r="K9" s="14"/>
      <c r="L9" s="135"/>
      <c r="M9" s="135"/>
      <c r="N9" s="140" t="s">
        <v>29</v>
      </c>
      <c r="O9" s="148" t="s">
        <v>30</v>
      </c>
      <c r="P9" s="145" t="s">
        <v>29</v>
      </c>
      <c r="Q9" s="140" t="s">
        <v>30</v>
      </c>
      <c r="R9" s="170"/>
      <c r="S9" s="15"/>
    </row>
    <row r="10" spans="2:19" ht="15.75" thickBot="1">
      <c r="B10" s="16"/>
      <c r="C10" s="125"/>
      <c r="D10" s="126"/>
      <c r="E10" s="14"/>
      <c r="F10" s="125"/>
      <c r="G10" s="14"/>
      <c r="H10" s="105"/>
      <c r="I10" s="106"/>
      <c r="J10" s="13"/>
      <c r="K10" s="14"/>
      <c r="L10" s="95"/>
      <c r="M10" s="95"/>
      <c r="N10" s="141" t="s">
        <v>32</v>
      </c>
      <c r="O10" s="149">
        <v>0.22670779999999999</v>
      </c>
      <c r="P10" s="146" t="s">
        <v>75</v>
      </c>
      <c r="Q10" s="142">
        <v>-0.23275580000000001</v>
      </c>
      <c r="R10" s="95"/>
      <c r="S10" s="15"/>
    </row>
    <row r="11" spans="2:19" ht="15.75" thickBot="1">
      <c r="B11" s="16"/>
      <c r="C11" s="125"/>
      <c r="D11" s="126"/>
      <c r="E11" s="14"/>
      <c r="F11" s="125"/>
      <c r="G11" s="14"/>
      <c r="H11" s="127"/>
      <c r="I11" s="106"/>
      <c r="J11" s="13"/>
      <c r="K11" s="14"/>
      <c r="L11" s="98"/>
      <c r="M11" s="111"/>
      <c r="N11" s="143" t="s">
        <v>34</v>
      </c>
      <c r="O11" s="150">
        <v>0.2057081</v>
      </c>
      <c r="P11" s="147" t="s">
        <v>80</v>
      </c>
      <c r="Q11" s="144">
        <v>-0.71786989999999995</v>
      </c>
      <c r="R11" s="111"/>
      <c r="S11" s="15"/>
    </row>
    <row r="12" spans="2:19" ht="15.75" thickBot="1">
      <c r="B12" s="16"/>
      <c r="C12" s="125"/>
      <c r="D12" s="128"/>
      <c r="E12" s="14"/>
      <c r="F12" s="125"/>
      <c r="G12" s="14"/>
      <c r="H12" s="105"/>
      <c r="I12" s="106"/>
      <c r="J12" s="13"/>
      <c r="K12" s="14"/>
      <c r="L12" s="95"/>
      <c r="M12" s="112"/>
      <c r="N12" s="141" t="s">
        <v>33</v>
      </c>
      <c r="O12" s="149">
        <v>-0.43143619999999999</v>
      </c>
      <c r="P12" s="146" t="s">
        <v>82</v>
      </c>
      <c r="Q12" s="142">
        <v>5.0691600000000003E-2</v>
      </c>
      <c r="R12" s="112"/>
      <c r="S12" s="15"/>
    </row>
    <row r="13" spans="2:19" ht="15.75" thickBot="1">
      <c r="B13" s="16"/>
      <c r="C13" s="125"/>
      <c r="D13" s="128"/>
      <c r="E13" s="14"/>
      <c r="F13" s="125"/>
      <c r="G13" s="14"/>
      <c r="H13" s="105"/>
      <c r="I13" s="106"/>
      <c r="J13" s="13"/>
      <c r="K13" s="14"/>
      <c r="L13" s="98"/>
      <c r="M13" s="111"/>
      <c r="N13" s="143" t="s">
        <v>35</v>
      </c>
      <c r="O13" s="150">
        <v>-0.26898820000000001</v>
      </c>
      <c r="P13" s="147" t="s">
        <v>79</v>
      </c>
      <c r="Q13" s="144">
        <v>-5.5140000000000002E-2</v>
      </c>
      <c r="R13" s="111"/>
      <c r="S13" s="15"/>
    </row>
    <row r="14" spans="2:19" ht="15.75" thickBot="1">
      <c r="B14" s="16"/>
      <c r="C14" s="125"/>
      <c r="D14" s="129"/>
      <c r="E14" s="14"/>
      <c r="F14" s="125"/>
      <c r="G14" s="14"/>
      <c r="H14" s="105"/>
      <c r="I14" s="106"/>
      <c r="J14" s="107"/>
      <c r="K14" s="14"/>
      <c r="L14" s="95"/>
      <c r="M14" s="112"/>
      <c r="N14" s="141" t="s">
        <v>36</v>
      </c>
      <c r="O14" s="149">
        <v>-0.83533550000000001</v>
      </c>
      <c r="P14" s="146" t="s">
        <v>45</v>
      </c>
      <c r="Q14" s="142">
        <v>-0.50146400000000002</v>
      </c>
      <c r="R14" s="112"/>
      <c r="S14" s="15"/>
    </row>
    <row r="15" spans="2:19" ht="15.75" thickBot="1">
      <c r="B15" s="16"/>
      <c r="C15" s="17"/>
      <c r="D15" s="17"/>
      <c r="E15" s="14"/>
      <c r="F15" s="127"/>
      <c r="G15" s="14"/>
      <c r="H15" s="105"/>
      <c r="I15" s="106"/>
      <c r="J15" s="107"/>
      <c r="K15" s="14"/>
      <c r="L15" s="98"/>
      <c r="M15" s="111"/>
      <c r="N15" s="143" t="s">
        <v>38</v>
      </c>
      <c r="O15" s="150">
        <v>0.40737069999999997</v>
      </c>
      <c r="P15" s="147" t="s">
        <v>81</v>
      </c>
      <c r="Q15" s="144">
        <v>-0.17636589999999999</v>
      </c>
      <c r="R15" s="111"/>
      <c r="S15" s="15"/>
    </row>
    <row r="16" spans="2:19" ht="15.75" thickBot="1">
      <c r="B16" s="16"/>
      <c r="C16" s="11"/>
      <c r="D16" s="11"/>
      <c r="E16" s="14"/>
      <c r="F16" s="14"/>
      <c r="G16" s="14"/>
      <c r="H16" s="23"/>
      <c r="I16" s="11"/>
      <c r="J16" s="13"/>
      <c r="K16" s="14"/>
      <c r="L16" s="95"/>
      <c r="M16" s="112"/>
      <c r="N16" s="141" t="s">
        <v>37</v>
      </c>
      <c r="O16" s="149">
        <v>-0.18409829999999999</v>
      </c>
      <c r="P16" s="146" t="s">
        <v>83</v>
      </c>
      <c r="Q16" s="142">
        <v>-4.734E-2</v>
      </c>
      <c r="R16" s="112"/>
      <c r="S16" s="15"/>
    </row>
    <row r="17" spans="2:19" ht="15.75" thickBot="1">
      <c r="B17" s="16"/>
      <c r="C17" s="11"/>
      <c r="D17" s="11"/>
      <c r="E17" s="14"/>
      <c r="F17" s="23"/>
      <c r="G17" s="11"/>
      <c r="H17" s="13"/>
      <c r="I17" s="14"/>
      <c r="J17" s="14"/>
      <c r="K17" s="14"/>
      <c r="L17" s="98"/>
      <c r="M17" s="111"/>
      <c r="N17" s="143" t="s">
        <v>39</v>
      </c>
      <c r="O17" s="150">
        <v>0.29726570000000002</v>
      </c>
      <c r="P17" s="147" t="s">
        <v>87</v>
      </c>
      <c r="Q17" s="144">
        <v>5.6222399999999999E-2</v>
      </c>
      <c r="R17" s="111"/>
      <c r="S17" s="15"/>
    </row>
    <row r="18" spans="2:19" ht="15.75" thickBot="1">
      <c r="B18" s="18"/>
      <c r="C18" s="19"/>
      <c r="D18" s="13"/>
      <c r="E18" s="13"/>
      <c r="F18" s="13"/>
      <c r="G18" s="13"/>
      <c r="H18" s="13"/>
      <c r="I18" s="13"/>
      <c r="J18" s="19"/>
      <c r="K18" s="13"/>
      <c r="L18" s="95"/>
      <c r="M18" s="112"/>
      <c r="N18" s="141" t="s">
        <v>42</v>
      </c>
      <c r="O18" s="149">
        <v>0.2911861</v>
      </c>
      <c r="P18" s="146" t="s">
        <v>84</v>
      </c>
      <c r="Q18" s="142">
        <v>0.1022482</v>
      </c>
      <c r="R18" s="112"/>
      <c r="S18" s="15"/>
    </row>
    <row r="19" spans="2:19" ht="15.75" thickBot="1">
      <c r="B19" s="18"/>
      <c r="C19" s="19"/>
      <c r="D19" s="13"/>
      <c r="E19" s="13"/>
      <c r="F19" s="13"/>
      <c r="G19" s="13"/>
      <c r="H19" s="13"/>
      <c r="I19" s="13"/>
      <c r="J19" s="19"/>
      <c r="K19" s="13"/>
      <c r="L19" s="98"/>
      <c r="M19" s="111"/>
      <c r="N19" s="143" t="s">
        <v>43</v>
      </c>
      <c r="O19" s="150">
        <v>0.14328479999999999</v>
      </c>
      <c r="P19" s="147" t="s">
        <v>86</v>
      </c>
      <c r="Q19" s="144">
        <v>4.2787400000000003E-2</v>
      </c>
      <c r="R19" s="111"/>
      <c r="S19" s="15"/>
    </row>
    <row r="20" spans="2:19" ht="15.75" thickBot="1">
      <c r="B20" s="12"/>
      <c r="C20" s="13"/>
      <c r="D20" s="13"/>
      <c r="E20" s="13"/>
      <c r="F20" s="13"/>
      <c r="G20" s="13"/>
      <c r="H20" s="13"/>
      <c r="I20" s="13"/>
      <c r="J20" s="13"/>
      <c r="K20" s="13"/>
      <c r="L20" s="95"/>
      <c r="M20" s="112"/>
      <c r="N20" s="141" t="s">
        <v>44</v>
      </c>
      <c r="O20" s="149">
        <v>0.20460790000000001</v>
      </c>
      <c r="P20" s="146" t="s">
        <v>88</v>
      </c>
      <c r="Q20" s="142">
        <v>-0.39985189999999998</v>
      </c>
      <c r="R20" s="112"/>
      <c r="S20" s="15"/>
    </row>
    <row r="21" spans="2:19" ht="15.75" thickBot="1">
      <c r="B21" s="12"/>
      <c r="C21" s="13"/>
      <c r="D21" s="13"/>
      <c r="E21" s="13"/>
      <c r="F21" s="13"/>
      <c r="G21" s="13"/>
      <c r="H21" s="13"/>
      <c r="I21" s="13"/>
      <c r="J21" s="13"/>
      <c r="K21" s="13"/>
      <c r="L21" s="98"/>
      <c r="M21" s="111"/>
      <c r="N21" s="143" t="s">
        <v>56</v>
      </c>
      <c r="O21" s="150">
        <v>-0.3208685</v>
      </c>
      <c r="P21" s="147" t="s">
        <v>89</v>
      </c>
      <c r="Q21" s="144">
        <v>-0.70958659999999996</v>
      </c>
      <c r="R21" s="111"/>
      <c r="S21" s="15"/>
    </row>
    <row r="22" spans="2:19" ht="15.75" thickBot="1">
      <c r="B22" s="12"/>
      <c r="C22" s="13"/>
      <c r="D22" s="13"/>
      <c r="E22" s="13"/>
      <c r="F22" s="13"/>
      <c r="G22" s="13"/>
      <c r="H22" s="13"/>
      <c r="I22" s="13"/>
      <c r="J22" s="13"/>
      <c r="K22" s="13"/>
      <c r="L22" s="95"/>
      <c r="M22" s="112"/>
      <c r="N22" s="141" t="s">
        <v>46</v>
      </c>
      <c r="O22" s="149">
        <v>-0.48613679999999998</v>
      </c>
      <c r="P22" s="146" t="s">
        <v>90</v>
      </c>
      <c r="Q22" s="142">
        <v>-1.66316E-2</v>
      </c>
      <c r="R22" s="112"/>
      <c r="S22" s="15"/>
    </row>
    <row r="23" spans="2:19" ht="15.75" thickBot="1">
      <c r="B23" s="12"/>
      <c r="C23" s="13"/>
      <c r="D23" s="13"/>
      <c r="E23" s="13"/>
      <c r="F23" s="13"/>
      <c r="G23" s="13"/>
      <c r="H23" s="13"/>
      <c r="I23" s="13"/>
      <c r="J23" s="13"/>
      <c r="K23" s="13"/>
      <c r="L23" s="113"/>
      <c r="M23" s="113"/>
      <c r="N23" s="143" t="s">
        <v>48</v>
      </c>
      <c r="O23" s="150">
        <v>-0.40754259999999998</v>
      </c>
      <c r="P23" s="147" t="s">
        <v>91</v>
      </c>
      <c r="Q23" s="144">
        <v>-0.48324709999999998</v>
      </c>
      <c r="R23" s="113"/>
      <c r="S23" s="15"/>
    </row>
    <row r="24" spans="2:19" ht="15.75" thickBot="1">
      <c r="B24" s="12"/>
      <c r="C24" s="13"/>
      <c r="D24" s="13"/>
      <c r="E24" s="13"/>
      <c r="F24" s="13"/>
      <c r="G24" s="13"/>
      <c r="H24" s="13"/>
      <c r="I24" s="13"/>
      <c r="J24" s="13"/>
      <c r="K24" s="13"/>
      <c r="L24" s="135"/>
      <c r="M24" s="135"/>
      <c r="N24" s="141" t="s">
        <v>50</v>
      </c>
      <c r="O24" s="149">
        <v>0.16647880000000001</v>
      </c>
      <c r="P24" s="146" t="s">
        <v>93</v>
      </c>
      <c r="Q24" s="142">
        <v>0.33232430000000002</v>
      </c>
      <c r="R24" s="170"/>
      <c r="S24" s="15"/>
    </row>
    <row r="25" spans="2:19" ht="15.75" thickBot="1">
      <c r="B25" s="12"/>
      <c r="C25" s="13"/>
      <c r="D25" s="13"/>
      <c r="E25" s="13"/>
      <c r="F25" s="13"/>
      <c r="G25" s="13"/>
      <c r="H25" s="13"/>
      <c r="I25" s="13"/>
      <c r="J25" s="13"/>
      <c r="K25" s="13"/>
      <c r="L25" s="95"/>
      <c r="M25" s="95"/>
      <c r="N25" s="143" t="s">
        <v>49</v>
      </c>
      <c r="O25" s="150">
        <v>-0.53771329999999995</v>
      </c>
      <c r="P25" s="147" t="s">
        <v>94</v>
      </c>
      <c r="Q25" s="144">
        <v>0.1660692</v>
      </c>
      <c r="R25" s="95"/>
      <c r="S25" s="15"/>
    </row>
    <row r="26" spans="2:19" ht="15.75" thickBot="1">
      <c r="B26" s="12"/>
      <c r="C26" s="13"/>
      <c r="D26" s="13"/>
      <c r="E26" s="13"/>
      <c r="F26" s="13"/>
      <c r="G26" s="13"/>
      <c r="H26" s="13"/>
      <c r="I26" s="13"/>
      <c r="J26" s="13"/>
      <c r="K26" s="13"/>
      <c r="L26" s="98"/>
      <c r="M26" s="114"/>
      <c r="N26" s="141" t="s">
        <v>52</v>
      </c>
      <c r="O26" s="149">
        <v>-0.48893969999999998</v>
      </c>
      <c r="P26" s="146" t="s">
        <v>247</v>
      </c>
      <c r="Q26" s="142">
        <v>-9.8970699999999995E-2</v>
      </c>
      <c r="R26" s="111"/>
      <c r="S26" s="15"/>
    </row>
    <row r="27" spans="2:19" ht="15.75" thickBot="1">
      <c r="B27" s="12"/>
      <c r="C27" s="13"/>
      <c r="D27" s="13"/>
      <c r="E27" s="13"/>
      <c r="F27" s="13"/>
      <c r="G27" s="13"/>
      <c r="H27" s="13"/>
      <c r="I27" s="13"/>
      <c r="J27" s="13"/>
      <c r="K27" s="13"/>
      <c r="L27" s="95"/>
      <c r="M27" s="112"/>
      <c r="N27" s="143" t="s">
        <v>53</v>
      </c>
      <c r="O27" s="150">
        <v>-0.61064339999999995</v>
      </c>
      <c r="P27" s="147" t="s">
        <v>97</v>
      </c>
      <c r="Q27" s="144">
        <v>-0.34063599999999999</v>
      </c>
      <c r="R27" s="112"/>
      <c r="S27" s="15"/>
    </row>
    <row r="28" spans="2:19" ht="15.75" thickBot="1">
      <c r="B28" s="12"/>
      <c r="C28" s="13"/>
      <c r="D28" s="13"/>
      <c r="E28" s="13"/>
      <c r="F28" s="13"/>
      <c r="G28" s="13"/>
      <c r="H28" s="13"/>
      <c r="I28" s="13"/>
      <c r="J28" s="13"/>
      <c r="K28" s="13"/>
      <c r="L28" s="98"/>
      <c r="M28" s="111"/>
      <c r="N28" s="141" t="s">
        <v>47</v>
      </c>
      <c r="O28" s="149">
        <v>-0.53682859999999999</v>
      </c>
      <c r="P28" s="146" t="s">
        <v>105</v>
      </c>
      <c r="Q28" s="142">
        <v>0.41407699999999997</v>
      </c>
      <c r="R28" s="111"/>
      <c r="S28" s="15"/>
    </row>
    <row r="29" spans="2:19" ht="15.75" thickBot="1">
      <c r="B29" s="12"/>
      <c r="C29" s="13"/>
      <c r="D29" s="13"/>
      <c r="E29" s="13"/>
      <c r="F29" s="13"/>
      <c r="G29" s="13"/>
      <c r="H29" s="13"/>
      <c r="I29" s="13"/>
      <c r="J29" s="13"/>
      <c r="K29" s="13"/>
      <c r="L29" s="95"/>
      <c r="M29" s="112"/>
      <c r="N29" s="143" t="s">
        <v>55</v>
      </c>
      <c r="O29" s="150">
        <v>-0.53761429999999999</v>
      </c>
      <c r="P29" s="147" t="s">
        <v>68</v>
      </c>
      <c r="Q29" s="144">
        <v>0.1099218</v>
      </c>
      <c r="R29" s="112"/>
      <c r="S29" s="15"/>
    </row>
    <row r="30" spans="2:19" ht="15.75" thickBot="1">
      <c r="B30" s="12"/>
      <c r="C30" s="13"/>
      <c r="D30" s="13"/>
      <c r="E30" s="13"/>
      <c r="F30" s="13"/>
      <c r="G30" s="13"/>
      <c r="H30" s="13"/>
      <c r="I30" s="13"/>
      <c r="J30" s="13"/>
      <c r="K30" s="13"/>
      <c r="L30" s="98"/>
      <c r="M30" s="111"/>
      <c r="N30" s="141" t="s">
        <v>57</v>
      </c>
      <c r="O30" s="149">
        <v>-0.70621820000000002</v>
      </c>
      <c r="P30" s="146" t="s">
        <v>51</v>
      </c>
      <c r="Q30" s="142">
        <v>-0.95318210000000003</v>
      </c>
      <c r="R30" s="114"/>
      <c r="S30" s="15"/>
    </row>
    <row r="31" spans="2:19" ht="15.75" thickBot="1">
      <c r="B31" s="12"/>
      <c r="C31" s="13"/>
      <c r="D31" s="13"/>
      <c r="E31" s="13"/>
      <c r="F31" s="13"/>
      <c r="G31" s="13"/>
      <c r="H31" s="13"/>
      <c r="I31" s="13"/>
      <c r="J31" s="13"/>
      <c r="K31" s="13"/>
      <c r="L31" s="96"/>
      <c r="M31" s="96"/>
      <c r="N31" s="143" t="s">
        <v>62</v>
      </c>
      <c r="O31" s="150">
        <v>-0.27785159999999998</v>
      </c>
      <c r="P31" s="147" t="s">
        <v>71</v>
      </c>
      <c r="Q31" s="144">
        <v>3.3063700000000001E-2</v>
      </c>
      <c r="R31" s="96"/>
      <c r="S31" s="15"/>
    </row>
    <row r="32" spans="2:19" ht="15.75" thickBot="1">
      <c r="B32" s="12"/>
      <c r="C32" s="13"/>
      <c r="D32" s="13"/>
      <c r="E32" s="13"/>
      <c r="F32" s="13"/>
      <c r="G32" s="13"/>
      <c r="H32" s="13"/>
      <c r="I32" s="13"/>
      <c r="J32" s="13"/>
      <c r="K32" s="13"/>
      <c r="L32" s="135"/>
      <c r="M32" s="135"/>
      <c r="N32" s="141" t="s">
        <v>61</v>
      </c>
      <c r="O32" s="149">
        <v>0.1957421</v>
      </c>
      <c r="P32" s="146" t="s">
        <v>95</v>
      </c>
      <c r="Q32" s="142">
        <v>-0.55424770000000001</v>
      </c>
      <c r="R32" s="135"/>
      <c r="S32" s="15"/>
    </row>
    <row r="33" spans="2:19" ht="15.75" thickBot="1">
      <c r="B33" s="12"/>
      <c r="C33" s="13"/>
      <c r="D33" s="13"/>
      <c r="E33" s="13"/>
      <c r="F33" s="13"/>
      <c r="G33" s="13"/>
      <c r="H33" s="13"/>
      <c r="I33" s="13"/>
      <c r="J33" s="13"/>
      <c r="K33" s="13"/>
      <c r="L33" s="95"/>
      <c r="M33" s="130"/>
      <c r="N33" s="143" t="s">
        <v>58</v>
      </c>
      <c r="O33" s="150">
        <v>0.1602797</v>
      </c>
      <c r="P33" s="147" t="s">
        <v>40</v>
      </c>
      <c r="Q33" s="144">
        <v>-0.35710449999999999</v>
      </c>
      <c r="R33" s="95"/>
      <c r="S33" s="15"/>
    </row>
    <row r="34" spans="2:19" ht="15.75" thickBot="1">
      <c r="B34" s="12"/>
      <c r="C34" s="13"/>
      <c r="D34" s="13"/>
      <c r="E34" s="13"/>
      <c r="F34" s="13"/>
      <c r="G34" s="13"/>
      <c r="H34" s="13"/>
      <c r="I34" s="13"/>
      <c r="J34" s="13"/>
      <c r="K34" s="13"/>
      <c r="L34" s="98"/>
      <c r="M34" s="115"/>
      <c r="N34" s="141" t="s">
        <v>59</v>
      </c>
      <c r="O34" s="149">
        <v>-0.66874219999999995</v>
      </c>
      <c r="P34" s="146" t="s">
        <v>101</v>
      </c>
      <c r="Q34" s="142">
        <v>0.11282440000000001</v>
      </c>
      <c r="R34" s="115"/>
      <c r="S34" s="15"/>
    </row>
    <row r="35" spans="2:19" ht="15.75" thickBot="1">
      <c r="B35" s="12"/>
      <c r="C35" s="13"/>
      <c r="D35" s="13"/>
      <c r="E35" s="13"/>
      <c r="F35" s="13"/>
      <c r="G35" s="13"/>
      <c r="H35" s="13"/>
      <c r="I35" s="13"/>
      <c r="J35" s="13"/>
      <c r="K35" s="13"/>
      <c r="L35" s="131"/>
      <c r="M35" s="116"/>
      <c r="N35" s="143" t="s">
        <v>60</v>
      </c>
      <c r="O35" s="150">
        <v>-0.14766299999999999</v>
      </c>
      <c r="P35" s="147" t="s">
        <v>98</v>
      </c>
      <c r="Q35" s="144">
        <v>0.2149056</v>
      </c>
      <c r="R35" s="116"/>
      <c r="S35" s="15"/>
    </row>
    <row r="36" spans="2:19" ht="15.75" thickBot="1">
      <c r="B36" s="12"/>
      <c r="C36" s="13"/>
      <c r="D36" s="13"/>
      <c r="E36" s="13"/>
      <c r="F36" s="13"/>
      <c r="G36" s="13"/>
      <c r="H36" s="13"/>
      <c r="I36" s="13"/>
      <c r="J36" s="13"/>
      <c r="K36" s="13"/>
      <c r="L36" s="95"/>
      <c r="M36" s="132"/>
      <c r="N36" s="141" t="s">
        <v>63</v>
      </c>
      <c r="O36" s="149">
        <v>-1.051145</v>
      </c>
      <c r="P36" s="146" t="s">
        <v>99</v>
      </c>
      <c r="Q36" s="142">
        <v>-0.221001</v>
      </c>
      <c r="R36" s="132"/>
      <c r="S36" s="15"/>
    </row>
    <row r="37" spans="2:19" ht="15.75" thickBot="1">
      <c r="B37" s="12"/>
      <c r="C37" s="13"/>
      <c r="D37" s="13"/>
      <c r="E37" s="13"/>
      <c r="F37" s="13"/>
      <c r="G37" s="13"/>
      <c r="H37" s="13"/>
      <c r="I37" s="13"/>
      <c r="J37" s="13"/>
      <c r="K37" s="13"/>
      <c r="L37" s="133"/>
      <c r="M37" s="117"/>
      <c r="N37" s="143" t="s">
        <v>41</v>
      </c>
      <c r="O37" s="150">
        <v>-0.28542420000000002</v>
      </c>
      <c r="P37" s="147" t="s">
        <v>100</v>
      </c>
      <c r="Q37" s="144">
        <v>-1.3082699999999999E-2</v>
      </c>
      <c r="R37" s="117"/>
      <c r="S37" s="15"/>
    </row>
    <row r="38" spans="2:19" ht="15.75" thickBot="1">
      <c r="B38" s="12"/>
      <c r="C38" s="13"/>
      <c r="D38" s="13"/>
      <c r="E38" s="13"/>
      <c r="F38" s="13"/>
      <c r="G38" s="13"/>
      <c r="H38" s="13"/>
      <c r="I38" s="13"/>
      <c r="J38" s="13"/>
      <c r="K38" s="13"/>
      <c r="L38" s="98"/>
      <c r="M38" s="115"/>
      <c r="N38" s="141" t="s">
        <v>64</v>
      </c>
      <c r="O38" s="149">
        <v>-2.4988199999999999E-2</v>
      </c>
      <c r="P38" s="146" t="s">
        <v>248</v>
      </c>
      <c r="Q38" s="142">
        <v>-4.2322100000000001E-2</v>
      </c>
      <c r="R38" s="115"/>
      <c r="S38" s="15"/>
    </row>
    <row r="39" spans="2:19" ht="15.75" thickBot="1">
      <c r="B39" s="12"/>
      <c r="C39" s="13"/>
      <c r="D39" s="13"/>
      <c r="E39" s="13"/>
      <c r="F39" s="13"/>
      <c r="G39" s="13"/>
      <c r="H39" s="13"/>
      <c r="I39" s="13"/>
      <c r="J39" s="13"/>
      <c r="K39" s="13"/>
      <c r="L39" s="134"/>
      <c r="M39" s="116"/>
      <c r="N39" s="143" t="s">
        <v>66</v>
      </c>
      <c r="O39" s="150">
        <v>-0.64926150000000005</v>
      </c>
      <c r="P39" s="147" t="s">
        <v>102</v>
      </c>
      <c r="Q39" s="144">
        <v>0.25183800000000001</v>
      </c>
      <c r="R39" s="116"/>
      <c r="S39" s="15"/>
    </row>
    <row r="40" spans="2:19" ht="15.75" thickBot="1">
      <c r="B40" s="12"/>
      <c r="C40" s="13"/>
      <c r="D40" s="13"/>
      <c r="E40" s="13"/>
      <c r="F40" s="13"/>
      <c r="G40" s="13"/>
      <c r="H40" s="13"/>
      <c r="I40" s="13"/>
      <c r="J40" s="13"/>
      <c r="K40" s="13"/>
      <c r="L40" s="95"/>
      <c r="M40" s="132"/>
      <c r="N40" s="141" t="s">
        <v>65</v>
      </c>
      <c r="O40" s="149">
        <v>-6.8683499999999995E-2</v>
      </c>
      <c r="P40" s="146" t="s">
        <v>54</v>
      </c>
      <c r="Q40" s="142">
        <v>-0.24432290000000001</v>
      </c>
      <c r="R40" s="132"/>
      <c r="S40" s="15"/>
    </row>
    <row r="41" spans="2:19" ht="15.75" thickBot="1">
      <c r="B41" s="12"/>
      <c r="C41" s="13"/>
      <c r="D41" s="13"/>
      <c r="E41" s="13"/>
      <c r="F41" s="13"/>
      <c r="G41" s="13"/>
      <c r="H41" s="13"/>
      <c r="I41" s="13"/>
      <c r="J41" s="13"/>
      <c r="K41" s="13"/>
      <c r="L41" s="133"/>
      <c r="M41" s="117"/>
      <c r="N41" s="143" t="s">
        <v>70</v>
      </c>
      <c r="O41" s="150">
        <v>-8.5502700000000001E-2</v>
      </c>
      <c r="P41" s="147" t="s">
        <v>107</v>
      </c>
      <c r="Q41" s="144">
        <v>0.14497860000000001</v>
      </c>
      <c r="R41" s="117"/>
      <c r="S41" s="15"/>
    </row>
    <row r="42" spans="2:19" ht="15.75" thickBot="1">
      <c r="B42" s="12"/>
      <c r="C42" s="13"/>
      <c r="D42" s="13"/>
      <c r="E42" s="13"/>
      <c r="F42" s="13"/>
      <c r="G42" s="13"/>
      <c r="H42" s="13"/>
      <c r="I42" s="13"/>
      <c r="J42" s="13"/>
      <c r="K42" s="13"/>
      <c r="L42" s="98"/>
      <c r="M42" s="115"/>
      <c r="N42" s="141" t="s">
        <v>67</v>
      </c>
      <c r="O42" s="149">
        <v>-1.55246E-2</v>
      </c>
      <c r="P42" s="146" t="s">
        <v>104</v>
      </c>
      <c r="Q42" s="142">
        <v>-9.0706899999999993E-2</v>
      </c>
      <c r="R42" s="115"/>
      <c r="S42" s="15"/>
    </row>
    <row r="43" spans="2:19" ht="15.75" thickBot="1">
      <c r="B43" s="12"/>
      <c r="C43" s="13"/>
      <c r="D43" s="13"/>
      <c r="E43" s="13"/>
      <c r="F43" s="13"/>
      <c r="G43" s="13"/>
      <c r="H43" s="13"/>
      <c r="I43" s="13"/>
      <c r="J43" s="13"/>
      <c r="K43" s="13"/>
      <c r="L43" s="134"/>
      <c r="M43" s="116"/>
      <c r="N43" s="143" t="s">
        <v>69</v>
      </c>
      <c r="O43" s="150">
        <v>-1.42089E-2</v>
      </c>
      <c r="P43" s="147" t="s">
        <v>106</v>
      </c>
      <c r="Q43" s="144">
        <v>8.0790600000000004E-2</v>
      </c>
      <c r="R43" s="116"/>
      <c r="S43" s="15"/>
    </row>
    <row r="44" spans="2:19" ht="15.75" thickBot="1">
      <c r="B44" s="12"/>
      <c r="C44" s="13"/>
      <c r="D44" s="13"/>
      <c r="E44" s="13"/>
      <c r="F44" s="13"/>
      <c r="G44" s="13"/>
      <c r="H44" s="13"/>
      <c r="I44" s="13"/>
      <c r="J44" s="13"/>
      <c r="K44" s="13"/>
      <c r="L44" s="98"/>
      <c r="M44" s="99"/>
      <c r="N44" s="141" t="s">
        <v>72</v>
      </c>
      <c r="O44" s="149">
        <v>-0.55082180000000003</v>
      </c>
      <c r="P44" s="146"/>
      <c r="Q44" s="142"/>
      <c r="R44" s="99"/>
      <c r="S44" s="15"/>
    </row>
    <row r="45" spans="2:19" ht="15.75" thickBot="1">
      <c r="B45" s="12"/>
      <c r="C45" s="13"/>
      <c r="D45" s="13"/>
      <c r="E45" s="13"/>
      <c r="F45" s="13"/>
      <c r="G45" s="13"/>
      <c r="H45" s="13"/>
      <c r="I45" s="13"/>
      <c r="J45" s="13"/>
      <c r="K45" s="13"/>
      <c r="L45" s="95"/>
      <c r="M45" s="97"/>
      <c r="N45" s="143" t="s">
        <v>76</v>
      </c>
      <c r="O45" s="150">
        <v>-0.16043540000000001</v>
      </c>
      <c r="P45" s="147"/>
      <c r="Q45" s="144"/>
      <c r="R45" s="97"/>
      <c r="S45" s="15"/>
    </row>
    <row r="46" spans="2:19" ht="15.75" thickBot="1">
      <c r="B46" s="12"/>
      <c r="C46" s="13"/>
      <c r="D46" s="13"/>
      <c r="E46" s="13"/>
      <c r="F46" s="13"/>
      <c r="G46" s="13"/>
      <c r="H46" s="13"/>
      <c r="I46" s="13"/>
      <c r="J46" s="13"/>
      <c r="K46" s="13"/>
      <c r="L46" s="98"/>
      <c r="M46" s="99"/>
      <c r="N46" s="141" t="s">
        <v>78</v>
      </c>
      <c r="O46" s="149">
        <v>0.1707593</v>
      </c>
      <c r="P46" s="146"/>
      <c r="Q46" s="142"/>
      <c r="R46" s="99"/>
      <c r="S46" s="15"/>
    </row>
    <row r="47" spans="2:19" ht="15.75" thickBot="1">
      <c r="B47" s="12"/>
      <c r="C47" s="13"/>
      <c r="D47" s="13"/>
      <c r="E47" s="13"/>
      <c r="F47" s="13"/>
      <c r="G47" s="13"/>
      <c r="H47" s="13"/>
      <c r="I47" s="13"/>
      <c r="J47" s="13"/>
      <c r="K47" s="13"/>
      <c r="L47" s="95"/>
      <c r="M47" s="97"/>
      <c r="N47" s="143" t="s">
        <v>77</v>
      </c>
      <c r="O47" s="150">
        <v>0.31423630000000002</v>
      </c>
      <c r="P47" s="147"/>
      <c r="Q47" s="144"/>
      <c r="R47" s="100"/>
      <c r="S47" s="15"/>
    </row>
    <row r="48" spans="2:19" ht="21.75" customHeight="1" thickBot="1">
      <c r="B48" s="20"/>
      <c r="C48" s="7"/>
      <c r="D48" s="7"/>
      <c r="E48" s="7"/>
      <c r="F48" s="7"/>
      <c r="G48" s="7"/>
      <c r="H48" s="7"/>
      <c r="I48" s="7"/>
      <c r="J48" s="7"/>
      <c r="K48" s="7"/>
      <c r="L48" s="34"/>
      <c r="M48" s="34"/>
      <c r="N48" s="34"/>
      <c r="O48" s="34"/>
      <c r="P48" s="443" t="s">
        <v>294</v>
      </c>
      <c r="Q48" s="34"/>
      <c r="R48" s="34"/>
      <c r="S48" s="21"/>
    </row>
    <row r="49" spans="2:16">
      <c r="B49" s="10"/>
      <c r="C49" s="10"/>
      <c r="D49" s="10"/>
      <c r="E49" s="10"/>
      <c r="F49" s="10"/>
      <c r="G49" s="10"/>
      <c r="H49" s="10"/>
      <c r="I49" s="10"/>
      <c r="J49" s="10"/>
      <c r="K49" s="10"/>
      <c r="P49" s="139"/>
    </row>
    <row r="50" spans="2:16">
      <c r="P50" s="139"/>
    </row>
    <row r="51" spans="2:16">
      <c r="P51" s="139"/>
    </row>
    <row r="52" spans="2:16">
      <c r="P52" s="139"/>
    </row>
    <row r="53" spans="2:16">
      <c r="P53" s="139"/>
    </row>
    <row r="54" spans="2:16">
      <c r="P54" s="139"/>
    </row>
    <row r="55" spans="2:16">
      <c r="P55" s="139"/>
    </row>
    <row r="56" spans="2:16">
      <c r="P56" s="139"/>
    </row>
    <row r="57" spans="2:16">
      <c r="P57" s="139"/>
    </row>
    <row r="58" spans="2:16">
      <c r="P58" s="139"/>
    </row>
    <row r="59" spans="2:16">
      <c r="P59" s="139"/>
    </row>
    <row r="60" spans="2:16">
      <c r="P60" s="139"/>
    </row>
    <row r="61" spans="2:16">
      <c r="P61" s="139"/>
    </row>
    <row r="62" spans="2:16">
      <c r="P62" s="139"/>
    </row>
    <row r="63" spans="2:16">
      <c r="P63" s="139"/>
    </row>
    <row r="64" spans="2:16">
      <c r="P64" s="139"/>
    </row>
    <row r="65" spans="16:16">
      <c r="P65" s="139"/>
    </row>
    <row r="66" spans="16:16">
      <c r="P66" s="139"/>
    </row>
    <row r="67" spans="16:16">
      <c r="P67" s="139"/>
    </row>
    <row r="68" spans="16:16">
      <c r="P68" s="139"/>
    </row>
    <row r="69" spans="16:16">
      <c r="P69" s="139"/>
    </row>
    <row r="70" spans="16:16">
      <c r="P70" s="139"/>
    </row>
    <row r="71" spans="16:16">
      <c r="P71" s="139"/>
    </row>
    <row r="72" spans="16:16">
      <c r="P72" s="139"/>
    </row>
    <row r="73" spans="16:16">
      <c r="P73" s="139"/>
    </row>
    <row r="74" spans="16:16">
      <c r="P74" s="139"/>
    </row>
    <row r="75" spans="16:16">
      <c r="P75" s="139"/>
    </row>
    <row r="76" spans="16:16">
      <c r="P76" s="139"/>
    </row>
    <row r="77" spans="16:16">
      <c r="P77" s="139"/>
    </row>
    <row r="78" spans="16:16">
      <c r="P78" s="139"/>
    </row>
    <row r="79" spans="16:16">
      <c r="P79" s="139"/>
    </row>
    <row r="80" spans="16:16">
      <c r="P80" s="139"/>
    </row>
    <row r="81" spans="16:16">
      <c r="P81" s="139"/>
    </row>
    <row r="82" spans="16:16">
      <c r="P82" s="139"/>
    </row>
    <row r="83" spans="16:16">
      <c r="P83" s="139"/>
    </row>
    <row r="84" spans="16:16">
      <c r="P84" s="139"/>
    </row>
    <row r="85" spans="16:16">
      <c r="P85" s="139"/>
    </row>
    <row r="86" spans="16:16">
      <c r="P86" s="139"/>
    </row>
  </sheetData>
  <sheetProtection algorithmName="SHA-512" hashValue="5aSsmCVKHlztPh1U5oI61fMCnGeS6P7xwNxYFwbymIyR9p/HzhnlCHCSInR0kABF8RgoUGbgLWFHhtb2aqxRNQ==" saltValue="536t+Bb6Pq8USpne1Azc3A==" spinCount="100000" sheet="1" objects="1" scenarios="1"/>
  <mergeCells count="1">
    <mergeCell ref="F2:N4"/>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49"/>
  <sheetViews>
    <sheetView zoomScaleNormal="100" workbookViewId="0">
      <selection activeCell="G13" sqref="G13"/>
    </sheetView>
  </sheetViews>
  <sheetFormatPr baseColWidth="10" defaultRowHeight="15"/>
  <cols>
    <col min="1" max="1" width="5.7109375" style="33" customWidth="1"/>
    <col min="2" max="4" width="15.7109375" style="33" customWidth="1"/>
    <col min="5" max="5" width="11.42578125" style="33" customWidth="1"/>
    <col min="6" max="6" width="19.85546875" style="33" bestFit="1" customWidth="1"/>
    <col min="7" max="7" width="11.42578125" style="33" customWidth="1"/>
    <col min="8" max="8" width="15.7109375" style="33" customWidth="1"/>
    <col min="9" max="11" width="11.42578125" style="33"/>
    <col min="12" max="12" width="14.28515625" style="33" customWidth="1"/>
    <col min="13" max="13" width="11.42578125" style="33" customWidth="1"/>
    <col min="14" max="14" width="11.42578125" style="33"/>
    <col min="15" max="15" width="11.42578125" style="33" customWidth="1"/>
    <col min="16" max="18" width="11.42578125" style="33"/>
    <col min="19" max="19" width="4.7109375" style="33" customWidth="1"/>
    <col min="20" max="16384" width="11.42578125" style="33"/>
  </cols>
  <sheetData>
    <row r="2" spans="2:19" ht="15" customHeight="1">
      <c r="E2" s="113"/>
      <c r="F2" s="452"/>
      <c r="G2" s="452"/>
      <c r="H2" s="452"/>
      <c r="I2" s="452"/>
      <c r="J2" s="452"/>
      <c r="K2" s="452"/>
      <c r="L2" s="452"/>
      <c r="M2" s="452"/>
      <c r="N2" s="452"/>
      <c r="O2" s="113"/>
    </row>
    <row r="3" spans="2:19" ht="15" customHeight="1">
      <c r="E3" s="377"/>
      <c r="F3" s="452"/>
      <c r="G3" s="452"/>
      <c r="H3" s="452"/>
      <c r="I3" s="452"/>
      <c r="J3" s="452"/>
      <c r="K3" s="452"/>
      <c r="L3" s="452"/>
      <c r="M3" s="452"/>
      <c r="N3" s="452"/>
      <c r="O3" s="377"/>
    </row>
    <row r="4" spans="2:19" ht="15" customHeight="1">
      <c r="E4" s="113"/>
      <c r="F4" s="452"/>
      <c r="G4" s="452"/>
      <c r="H4" s="452"/>
      <c r="I4" s="452"/>
      <c r="J4" s="452"/>
      <c r="K4" s="452"/>
      <c r="L4" s="452"/>
      <c r="M4" s="452"/>
      <c r="N4" s="452"/>
      <c r="O4" s="113"/>
    </row>
    <row r="6" spans="2:19" ht="15.75" thickBot="1"/>
    <row r="7" spans="2:19" ht="19.5" thickBot="1">
      <c r="B7" s="378" t="s">
        <v>212</v>
      </c>
      <c r="C7" s="379"/>
      <c r="D7" s="379"/>
      <c r="E7" s="379"/>
      <c r="F7" s="379"/>
      <c r="G7" s="379"/>
      <c r="H7" s="379"/>
      <c r="I7" s="379"/>
      <c r="J7" s="379"/>
      <c r="K7" s="379"/>
      <c r="L7" s="379"/>
      <c r="M7" s="379"/>
      <c r="N7" s="379"/>
      <c r="O7" s="379"/>
      <c r="P7" s="379"/>
      <c r="Q7" s="379"/>
      <c r="R7" s="379"/>
      <c r="S7" s="380"/>
    </row>
    <row r="8" spans="2:19" ht="15.75" thickBot="1">
      <c r="B8" s="381"/>
      <c r="C8" s="96"/>
      <c r="D8" s="96"/>
      <c r="E8" s="96"/>
      <c r="F8" s="96"/>
      <c r="G8" s="96"/>
      <c r="H8" s="96"/>
      <c r="I8" s="96"/>
      <c r="J8" s="96"/>
      <c r="K8" s="96"/>
      <c r="L8" s="113"/>
      <c r="M8" s="113"/>
      <c r="N8" s="113"/>
      <c r="O8" s="113"/>
      <c r="P8" s="113"/>
      <c r="Q8" s="113"/>
      <c r="R8" s="113"/>
      <c r="S8" s="382"/>
    </row>
    <row r="9" spans="2:19" ht="15.75" thickBot="1">
      <c r="B9" s="383"/>
      <c r="C9" s="453" t="s">
        <v>4</v>
      </c>
      <c r="D9" s="454"/>
      <c r="E9" s="113"/>
      <c r="F9" s="384" t="s">
        <v>154</v>
      </c>
      <c r="G9" s="384" t="s">
        <v>261</v>
      </c>
      <c r="H9" s="397"/>
      <c r="I9" s="455" t="s">
        <v>204</v>
      </c>
      <c r="J9" s="456"/>
      <c r="K9" s="113"/>
      <c r="L9" s="449" t="s">
        <v>208</v>
      </c>
      <c r="M9" s="450"/>
      <c r="N9" s="450"/>
      <c r="O9" s="451"/>
      <c r="P9" s="135"/>
      <c r="Q9" s="135"/>
      <c r="R9" s="170"/>
      <c r="S9" s="382"/>
    </row>
    <row r="10" spans="2:19" ht="15.75" thickBot="1">
      <c r="B10" s="383"/>
      <c r="C10" s="371" t="s">
        <v>199</v>
      </c>
      <c r="D10" s="436" t="s">
        <v>3</v>
      </c>
      <c r="E10" s="113"/>
      <c r="F10" s="369" t="s">
        <v>286</v>
      </c>
      <c r="G10" s="402">
        <v>0.2</v>
      </c>
      <c r="H10" s="403"/>
      <c r="I10" s="374" t="s">
        <v>21</v>
      </c>
      <c r="J10" s="375" t="s">
        <v>297</v>
      </c>
      <c r="K10" s="113"/>
      <c r="L10" s="59" t="s">
        <v>206</v>
      </c>
      <c r="M10" s="329" t="str">
        <f>F10</f>
        <v>US GI World Precious Minerals</v>
      </c>
      <c r="N10" s="329" t="str">
        <f>F11</f>
        <v>Vestas</v>
      </c>
      <c r="O10" s="254" t="s">
        <v>129</v>
      </c>
      <c r="P10" s="95"/>
      <c r="Q10" s="95"/>
      <c r="R10" s="95"/>
      <c r="S10" s="382"/>
    </row>
    <row r="11" spans="2:19" ht="15.75" thickBot="1">
      <c r="B11" s="383"/>
      <c r="C11" s="372" t="s">
        <v>200</v>
      </c>
      <c r="D11" s="437" t="s">
        <v>221</v>
      </c>
      <c r="E11" s="113"/>
      <c r="F11" s="370" t="s">
        <v>23</v>
      </c>
      <c r="G11" s="410">
        <f>1-G10</f>
        <v>0.8</v>
      </c>
      <c r="H11" s="403"/>
      <c r="I11" s="385" t="s">
        <v>234</v>
      </c>
      <c r="J11" s="386"/>
      <c r="K11" s="113"/>
      <c r="L11" s="65" t="s">
        <v>213</v>
      </c>
      <c r="M11" s="66">
        <f ca="1">AVERAGE(OFFSET(INDEX('Asset Returns'!$E:$E,2),0,MATCH(M$10,'Asset Returns'!$E$1:$ZH$1,0)-1,$D$14))</f>
        <v>-5.6590277777777776E-3</v>
      </c>
      <c r="N11" s="66">
        <f ca="1">AVERAGE(OFFSET(INDEX('Asset Returns'!$E:$E,2),0,MATCH(N$10,'Asset Returns'!$E$1:$ZH$1,0)-1,$D$14))</f>
        <v>1.2485127208572441E-2</v>
      </c>
      <c r="O11" s="67">
        <f>AVERAGE('AC3'!BG2:BG109)</f>
        <v>8.8562962113023971E-3</v>
      </c>
      <c r="P11" s="111"/>
      <c r="Q11" s="111"/>
      <c r="R11" s="111"/>
      <c r="S11" s="382"/>
    </row>
    <row r="12" spans="2:19" ht="15.75" thickBot="1">
      <c r="B12" s="383"/>
      <c r="C12" s="372" t="s">
        <v>201</v>
      </c>
      <c r="D12" s="438">
        <v>40179</v>
      </c>
      <c r="E12" s="113"/>
      <c r="F12" s="376" t="s">
        <v>220</v>
      </c>
      <c r="G12" s="408"/>
      <c r="H12" s="387"/>
      <c r="I12" s="386"/>
      <c r="J12" s="96"/>
      <c r="K12" s="113"/>
      <c r="L12" s="39" t="s">
        <v>17</v>
      </c>
      <c r="M12" s="40">
        <f ca="1">MEDIAN(OFFSET(INDEX('Asset Returns'!$E:$E,2),0,MATCH(M$10,'Asset Returns'!$E$1:$ZH$1,0)-1,$D$14))</f>
        <v>-1.61058E-2</v>
      </c>
      <c r="N12" s="40">
        <f ca="1">MEDIAN(OFFSET(INDEX('Asset Returns'!$E:$E,2),0,MATCH(N$10,'Asset Returns'!$E$1:$ZH$1,0)-1,$D$14))</f>
        <v>4.9978771712630987E-3</v>
      </c>
      <c r="O12" s="41">
        <f>MEDIAN('AC3'!BG2:BG109)</f>
        <v>1.3233787377373577E-2</v>
      </c>
      <c r="P12" s="112"/>
      <c r="Q12" s="112"/>
      <c r="R12" s="112"/>
      <c r="S12" s="382"/>
    </row>
    <row r="13" spans="2:19" ht="15.75" thickBot="1">
      <c r="B13" s="383"/>
      <c r="C13" s="372" t="s">
        <v>202</v>
      </c>
      <c r="D13" s="438">
        <v>43465</v>
      </c>
      <c r="E13" s="113"/>
      <c r="F13" s="374" t="s">
        <v>240</v>
      </c>
      <c r="G13" s="375" t="s">
        <v>297</v>
      </c>
      <c r="H13" s="387"/>
      <c r="I13" s="386"/>
      <c r="J13" s="96"/>
      <c r="K13" s="113"/>
      <c r="L13" s="36" t="s">
        <v>8</v>
      </c>
      <c r="M13" s="37">
        <f ca="1">MIN(OFFSET(INDEX('Asset Returns'!$E:$E,2),0,MATCH(M$10,'Asset Returns'!$E$1:$ZH$1,0)-1,$D$14))</f>
        <v>-0.1805746</v>
      </c>
      <c r="N13" s="37">
        <f ca="1">MIN(OFFSET(INDEX('Asset Returns'!$E:$E,2),0,MATCH(N$10,'Asset Returns'!$E$1:$ZH$1,0)-1,$D$14))</f>
        <v>-0.30671167373657227</v>
      </c>
      <c r="O13" s="38">
        <f>MIN('AC3'!BG2:BG109)</f>
        <v>-0.27114995898925781</v>
      </c>
      <c r="P13" s="111"/>
      <c r="Q13" s="111"/>
      <c r="R13" s="111"/>
      <c r="S13" s="382"/>
    </row>
    <row r="14" spans="2:19" ht="15.75" thickBot="1">
      <c r="B14" s="383"/>
      <c r="C14" s="373" t="s">
        <v>203</v>
      </c>
      <c r="D14" s="435">
        <v>108</v>
      </c>
      <c r="E14" s="113"/>
      <c r="F14" s="385" t="s">
        <v>262</v>
      </c>
      <c r="G14" s="416"/>
      <c r="H14" s="387"/>
      <c r="I14" s="386"/>
      <c r="J14" s="389"/>
      <c r="K14" s="113"/>
      <c r="L14" s="39" t="s">
        <v>9</v>
      </c>
      <c r="M14" s="40">
        <f ca="1">MAX(OFFSET(INDEX('Asset Returns'!$E:$E,2),0,MATCH(M$10,'Asset Returns'!$E$1:$ZH$1,0)-1,$D$14))</f>
        <v>0.31630649999999999</v>
      </c>
      <c r="N14" s="40">
        <f ca="1">MAX(OFFSET(INDEX('Asset Returns'!$E:$E,2),0,MATCH(N$10,'Asset Returns'!$E$1:$ZH$1,0)-1,$D$14))</f>
        <v>0.70102834701538086</v>
      </c>
      <c r="O14" s="41">
        <f>MAX('AC3'!BG2:BG109)</f>
        <v>0.54730227761230477</v>
      </c>
      <c r="P14" s="112"/>
      <c r="Q14" s="112"/>
      <c r="R14" s="112"/>
      <c r="S14" s="382"/>
    </row>
    <row r="15" spans="2:19" ht="15.75" thickBot="1">
      <c r="B15" s="383"/>
      <c r="C15" s="388"/>
      <c r="D15" s="388"/>
      <c r="E15" s="113"/>
      <c r="F15" s="96"/>
      <c r="G15" s="96"/>
      <c r="H15" s="387"/>
      <c r="I15" s="386"/>
      <c r="J15" s="389"/>
      <c r="K15" s="113"/>
      <c r="L15" s="36" t="s">
        <v>214</v>
      </c>
      <c r="M15" s="37">
        <f ca="1">_xlfn.STDEV.S(OFFSET(INDEX('Asset Returns'!$E:$E,2),0,MATCH(M$10,'Asset Returns'!$E$1:$ZH$1,0)-1,$D$14))</f>
        <v>9.3187386095609087E-2</v>
      </c>
      <c r="N15" s="37">
        <f ca="1">_xlfn.STDEV.S(OFFSET(INDEX('Asset Returns'!$E:$E,2),0,MATCH(N$10,'Asset Returns'!$E$1:$ZH$1,0)-1,$D$14))</f>
        <v>0.14747805996972924</v>
      </c>
      <c r="O15" s="38">
        <f>_xlfn.STDEV.S('AC3'!BG2:BG109)</f>
        <v>0.12196058847855532</v>
      </c>
      <c r="P15" s="111"/>
      <c r="Q15" s="111"/>
      <c r="R15" s="111"/>
      <c r="S15" s="382"/>
    </row>
    <row r="16" spans="2:19" ht="15.75" thickBot="1">
      <c r="B16" s="383"/>
      <c r="C16" s="390"/>
      <c r="D16" s="390"/>
      <c r="E16" s="113"/>
      <c r="F16" s="96"/>
      <c r="G16" s="96"/>
      <c r="H16" s="390"/>
      <c r="I16" s="390"/>
      <c r="J16" s="96"/>
      <c r="K16" s="113"/>
      <c r="L16" s="39" t="s">
        <v>16</v>
      </c>
      <c r="M16" s="362">
        <f ca="1">AVERAGE(OFFSET(INDEX('AC4'!$E:$E,2),0,MATCH(M$10,'AC4'!$E$1:$AC$1,0)-1,$D$14))/M15</f>
        <v>-6.3708252847273425E-2</v>
      </c>
      <c r="N16" s="362">
        <f ca="1">AVERAGE(OFFSET(INDEX('AC4'!$E:$E,2),0,MATCH(N$10,'AC4'!$E$1:$AC$1,0)-1,$D$14))/N15</f>
        <v>8.2774003355484196E-2</v>
      </c>
      <c r="O16" s="295">
        <f>AVERAGE('AC3'!BC2:BC109)/O15</f>
        <v>7.0338447366814771E-2</v>
      </c>
      <c r="P16" s="112"/>
      <c r="Q16" s="112"/>
      <c r="R16" s="112"/>
      <c r="S16" s="382"/>
    </row>
    <row r="17" spans="2:19" ht="15.75" thickBot="1">
      <c r="B17" s="383"/>
      <c r="C17" s="390"/>
      <c r="D17" s="390"/>
      <c r="E17" s="113"/>
      <c r="F17" s="96"/>
      <c r="G17" s="96"/>
      <c r="H17" s="96"/>
      <c r="I17" s="113"/>
      <c r="J17" s="113"/>
      <c r="K17" s="113"/>
      <c r="L17" s="36" t="s">
        <v>215</v>
      </c>
      <c r="M17" s="37">
        <f ca="1">_xlfn.PERCENTILE.INC((OFFSET(INDEX('Asset Returns'!$E:$E,2),0,MATCH(M$10,'Asset Returns'!$E$1:$ZH$1,0)-1,$D$14)),0.05)</f>
        <v>-0.15538437999999996</v>
      </c>
      <c r="N17" s="37">
        <f ca="1">_xlfn.PERCENTILE.INC((OFFSET(INDEX('Asset Returns'!$E:$E,2),0,MATCH(N$10,'Asset Returns'!$E$1:$ZH$1,0)-1,$D$14)),0.05)</f>
        <v>-0.21075892671942709</v>
      </c>
      <c r="O17" s="38">
        <f>_xlfn.PERCENTILE.INC('AC3'!BG2:BG109,0.05)</f>
        <v>-0.17795129243872834</v>
      </c>
      <c r="P17" s="111"/>
      <c r="Q17" s="111"/>
      <c r="R17" s="111"/>
      <c r="S17" s="382"/>
    </row>
    <row r="18" spans="2:19" ht="15.75" thickBot="1">
      <c r="B18" s="391"/>
      <c r="C18" s="392"/>
      <c r="D18" s="96"/>
      <c r="E18" s="96"/>
      <c r="F18" s="96"/>
      <c r="G18" s="96"/>
      <c r="H18" s="96"/>
      <c r="I18" s="96"/>
      <c r="J18" s="392"/>
      <c r="K18" s="96"/>
      <c r="L18" s="39" t="s">
        <v>216</v>
      </c>
      <c r="M18" s="40">
        <f ca="1">_xlfn.PERCENTILE.INC((OFFSET(INDEX('Asset Returns'!$E:$E,2),0,MATCH(M$10,'Asset Returns'!$E$1:$ZH$1,0)-1,$D$14)),0.1)</f>
        <v>-0.11227473</v>
      </c>
      <c r="N18" s="40">
        <f ca="1">_xlfn.PERCENTILE.INC((OFFSET(INDEX('Asset Returns'!$E:$E,2),0,MATCH(N$10,'Asset Returns'!$E$1:$ZH$1,0)-1,$D$14)),0.1)</f>
        <v>-0.16016324311494826</v>
      </c>
      <c r="O18" s="41">
        <f>_xlfn.PERCENTILE.INC('AC3'!BG2:BG109,0.1)</f>
        <v>-0.14368307510884093</v>
      </c>
      <c r="P18" s="112"/>
      <c r="Q18" s="112"/>
      <c r="R18" s="112"/>
      <c r="S18" s="382"/>
    </row>
    <row r="19" spans="2:19" ht="15.75" thickBot="1">
      <c r="B19" s="391"/>
      <c r="C19" s="392"/>
      <c r="D19" s="96"/>
      <c r="E19" s="96"/>
      <c r="F19" s="96"/>
      <c r="G19" s="96"/>
      <c r="H19" s="96"/>
      <c r="I19" s="96"/>
      <c r="J19" s="392"/>
      <c r="K19" s="96"/>
      <c r="L19" s="36" t="s">
        <v>217</v>
      </c>
      <c r="M19" s="37">
        <f ca="1">_xlfn.PERCENTILE.INC((OFFSET(INDEX('Asset Returns'!$E:$E,2),0,MATCH(M$10,'Asset Returns'!$E$1:$ZH$1,0)-1,$D$14)),0.9)</f>
        <v>0.10610740999999993</v>
      </c>
      <c r="N19" s="37">
        <f ca="1">_xlfn.PERCENTILE.INC((OFFSET(INDEX('Asset Returns'!$E:$E,2),0,MATCH(N$10,'Asset Returns'!$E$1:$ZH$1,0)-1,$D$14)),0.9)</f>
        <v>0.13762897104024879</v>
      </c>
      <c r="O19" s="38">
        <f>_xlfn.PERCENTILE.INC('AC3'!BG2:BG109,0.9)</f>
        <v>0.11889022722127532</v>
      </c>
      <c r="P19" s="111"/>
      <c r="Q19" s="111"/>
      <c r="R19" s="111"/>
      <c r="S19" s="382"/>
    </row>
    <row r="20" spans="2:19" ht="15.75" thickBot="1">
      <c r="B20" s="381"/>
      <c r="C20" s="96"/>
      <c r="D20" s="96"/>
      <c r="E20" s="96"/>
      <c r="F20" s="96"/>
      <c r="G20" s="96"/>
      <c r="H20" s="96"/>
      <c r="I20" s="96"/>
      <c r="J20" s="96"/>
      <c r="K20" s="96"/>
      <c r="L20" s="39" t="s">
        <v>218</v>
      </c>
      <c r="M20" s="40">
        <f ca="1">_xlfn.PERCENTILE.INC((OFFSET(INDEX('Asset Returns'!$E:$E,2),0,MATCH(M$10,'Asset Returns'!$E$1:$ZH$1,0)-1,$D$14)),0.95)</f>
        <v>0.14436705</v>
      </c>
      <c r="N20" s="40">
        <f ca="1">_xlfn.PERCENTILE.INC((OFFSET(INDEX('Asset Returns'!$E:$E,2),0,MATCH(N$10,'Asset Returns'!$E$1:$ZH$1,0)-1,$D$14)),0.95)</f>
        <v>0.20083212199380585</v>
      </c>
      <c r="O20" s="41">
        <f>_xlfn.PERCENTILE.INC('AC3'!BG2:BG109,0.95)</f>
        <v>0.15003320059504466</v>
      </c>
      <c r="P20" s="112"/>
      <c r="Q20" s="112"/>
      <c r="R20" s="112"/>
      <c r="S20" s="382"/>
    </row>
    <row r="21" spans="2:19" ht="15.75" thickBot="1">
      <c r="B21" s="381"/>
      <c r="C21" s="96"/>
      <c r="D21" s="96"/>
      <c r="E21" s="96"/>
      <c r="F21" s="96"/>
      <c r="G21" s="96"/>
      <c r="H21" s="96"/>
      <c r="I21" s="96"/>
      <c r="J21" s="96"/>
      <c r="K21" s="96"/>
      <c r="L21" s="36" t="s">
        <v>219</v>
      </c>
      <c r="M21" s="37">
        <f ca="1">SKEW(OFFSET(INDEX('Asset Returns'!$E:$E,2),0,MATCH(M$10,'Asset Returns'!$E$1:$ZH$1,0)-1,$D$14))</f>
        <v>0.5414412821314446</v>
      </c>
      <c r="N21" s="37">
        <f ca="1">SKEW(OFFSET(INDEX('Asset Returns'!$E:$E,2),0,MATCH(N$10,'Asset Returns'!$E$1:$ZH$1,0)-1,$D$14))</f>
        <v>1.1862727170785268</v>
      </c>
      <c r="O21" s="38">
        <f>SKEW('AC3'!BG2:BG109)</f>
        <v>0.96763406972756061</v>
      </c>
      <c r="P21" s="111"/>
      <c r="Q21" s="111"/>
      <c r="R21" s="111"/>
      <c r="S21" s="382"/>
    </row>
    <row r="22" spans="2:19" ht="15.75" thickBot="1">
      <c r="B22" s="381"/>
      <c r="C22" s="96"/>
      <c r="D22" s="96"/>
      <c r="E22" s="96"/>
      <c r="F22" s="96"/>
      <c r="G22" s="96"/>
      <c r="H22" s="96"/>
      <c r="I22" s="96"/>
      <c r="J22" s="96"/>
      <c r="K22" s="96"/>
      <c r="L22" s="42" t="s">
        <v>10</v>
      </c>
      <c r="M22" s="43">
        <f ca="1">KURT(OFFSET(INDEX('Asset Returns'!$E:$E,2),0,MATCH(M$10,'Asset Returns'!$E$1:$ZH$1,0)-1,$D$14))</f>
        <v>0.69604638461171131</v>
      </c>
      <c r="N22" s="43">
        <f ca="1">KURT(OFFSET(INDEX('Asset Returns'!$E:$E,2),0,MATCH(N$10,'Asset Returns'!$E$1:$ZH$1,0)-1,$D$14))</f>
        <v>4.4187011506853704</v>
      </c>
      <c r="O22" s="44">
        <f>KURT('AC3'!BG2:BG109)</f>
        <v>3.6738014157149803</v>
      </c>
      <c r="P22" s="112"/>
      <c r="Q22" s="112"/>
      <c r="R22" s="112"/>
      <c r="S22" s="382"/>
    </row>
    <row r="23" spans="2:19">
      <c r="B23" s="381"/>
      <c r="C23" s="96"/>
      <c r="D23" s="96"/>
      <c r="E23" s="96"/>
      <c r="F23" s="96"/>
      <c r="G23" s="96"/>
      <c r="H23" s="96"/>
      <c r="I23" s="96"/>
      <c r="J23" s="96"/>
      <c r="K23" s="96"/>
      <c r="R23" s="113"/>
      <c r="S23" s="382"/>
    </row>
    <row r="24" spans="2:19" ht="15.75" thickBot="1">
      <c r="B24" s="381"/>
      <c r="C24" s="96"/>
      <c r="D24" s="96"/>
      <c r="E24" s="96"/>
      <c r="F24" s="96"/>
      <c r="G24" s="96"/>
      <c r="H24" s="96"/>
      <c r="I24" s="96"/>
      <c r="J24" s="96"/>
      <c r="K24" s="96"/>
      <c r="P24" s="135"/>
      <c r="Q24" s="135"/>
      <c r="R24" s="170"/>
      <c r="S24" s="382"/>
    </row>
    <row r="25" spans="2:19" ht="15.75" thickBot="1">
      <c r="B25" s="381"/>
      <c r="C25" s="96"/>
      <c r="D25" s="96"/>
      <c r="E25" s="96"/>
      <c r="F25" s="96"/>
      <c r="G25" s="96"/>
      <c r="H25" s="96"/>
      <c r="I25" s="96"/>
      <c r="J25" s="96"/>
      <c r="K25" s="96"/>
      <c r="L25" s="449" t="s">
        <v>209</v>
      </c>
      <c r="M25" s="450"/>
      <c r="N25" s="450"/>
      <c r="O25" s="451"/>
      <c r="P25" s="95"/>
      <c r="Q25" s="95"/>
      <c r="R25" s="95"/>
      <c r="S25" s="382"/>
    </row>
    <row r="26" spans="2:19" ht="15.75" thickBot="1">
      <c r="B26" s="381"/>
      <c r="C26" s="96"/>
      <c r="D26" s="96"/>
      <c r="E26" s="96"/>
      <c r="F26" s="96"/>
      <c r="G26" s="96"/>
      <c r="H26" s="96"/>
      <c r="I26" s="96"/>
      <c r="J26" s="96"/>
      <c r="K26" s="96"/>
      <c r="L26" s="59" t="s">
        <v>130</v>
      </c>
      <c r="M26" s="60" t="str">
        <f>F10</f>
        <v>US GI World Precious Minerals</v>
      </c>
      <c r="N26" s="60" t="str">
        <f>F11</f>
        <v>Vestas</v>
      </c>
      <c r="O26" s="61" t="s">
        <v>129</v>
      </c>
      <c r="P26" s="111"/>
      <c r="Q26" s="111"/>
      <c r="R26" s="111"/>
      <c r="S26" s="382"/>
    </row>
    <row r="27" spans="2:19" ht="15.75" thickBot="1">
      <c r="B27" s="381"/>
      <c r="C27" s="96"/>
      <c r="D27" s="96"/>
      <c r="E27" s="96"/>
      <c r="F27" s="96"/>
      <c r="G27" s="96"/>
      <c r="H27" s="96"/>
      <c r="I27" s="96"/>
      <c r="J27" s="96"/>
      <c r="K27" s="96"/>
      <c r="L27" s="45" t="str">
        <f>F10</f>
        <v>US GI World Precious Minerals</v>
      </c>
      <c r="M27" s="46">
        <v>1</v>
      </c>
      <c r="N27" s="88"/>
      <c r="O27" s="89"/>
      <c r="P27" s="112"/>
      <c r="Q27" s="112"/>
      <c r="R27" s="112"/>
      <c r="S27" s="382"/>
    </row>
    <row r="28" spans="2:19" ht="15.75" thickBot="1">
      <c r="B28" s="381"/>
      <c r="C28" s="96"/>
      <c r="D28" s="96"/>
      <c r="E28" s="96"/>
      <c r="F28" s="96"/>
      <c r="G28" s="96"/>
      <c r="H28" s="96"/>
      <c r="I28" s="96"/>
      <c r="J28" s="96"/>
      <c r="K28" s="96"/>
      <c r="L28" s="39" t="str">
        <f>F11</f>
        <v>Vestas</v>
      </c>
      <c r="M28" s="40">
        <f>CORREL('AC3'!BA2:BA109,'AC3'!BB2:BB109)</f>
        <v>0.1382753565982818</v>
      </c>
      <c r="N28" s="48">
        <v>1</v>
      </c>
      <c r="O28" s="41"/>
      <c r="P28" s="111"/>
      <c r="Q28" s="111"/>
      <c r="R28" s="111"/>
      <c r="S28" s="382"/>
    </row>
    <row r="29" spans="2:19" ht="15.75" thickBot="1">
      <c r="B29" s="381"/>
      <c r="C29" s="96"/>
      <c r="D29" s="96"/>
      <c r="E29" s="96"/>
      <c r="F29" s="96"/>
      <c r="G29" s="96"/>
      <c r="H29" s="96"/>
      <c r="I29" s="96"/>
      <c r="J29" s="96"/>
      <c r="K29" s="96"/>
      <c r="L29" s="50" t="s">
        <v>129</v>
      </c>
      <c r="M29" s="51">
        <f>CORREL('AC3'!BA2:BA109,'AC3'!BC2:BC109)</f>
        <v>0.28659665383715632</v>
      </c>
      <c r="N29" s="51">
        <f>CORREL('AC3'!BB2:BB109,'AC3'!BC2:BC109)</f>
        <v>0.98847737806740776</v>
      </c>
      <c r="O29" s="52">
        <v>1</v>
      </c>
      <c r="P29" s="326"/>
      <c r="Q29" s="203"/>
      <c r="R29" s="112"/>
      <c r="S29" s="382"/>
    </row>
    <row r="30" spans="2:19">
      <c r="B30" s="381"/>
      <c r="C30" s="96"/>
      <c r="D30" s="96"/>
      <c r="E30" s="96"/>
      <c r="F30" s="96"/>
      <c r="G30" s="96"/>
      <c r="H30" s="96"/>
      <c r="I30" s="96"/>
      <c r="J30" s="96"/>
      <c r="K30" s="96"/>
      <c r="L30" s="205"/>
      <c r="M30" s="206"/>
      <c r="N30" s="206"/>
      <c r="O30" s="206"/>
      <c r="P30" s="206"/>
      <c r="Q30" s="207"/>
      <c r="R30" s="114"/>
      <c r="S30" s="382"/>
    </row>
    <row r="31" spans="2:19" ht="15.75" thickBot="1">
      <c r="B31" s="381"/>
      <c r="C31" s="96"/>
      <c r="D31" s="96"/>
      <c r="E31" s="96"/>
      <c r="F31" s="96"/>
      <c r="G31" s="96"/>
      <c r="H31" s="96"/>
      <c r="I31" s="96"/>
      <c r="J31" s="96"/>
      <c r="K31" s="96"/>
      <c r="L31" s="96"/>
      <c r="M31" s="96"/>
      <c r="N31" s="96"/>
      <c r="O31" s="96"/>
      <c r="P31" s="96"/>
      <c r="Q31" s="96"/>
      <c r="R31" s="96"/>
      <c r="S31" s="382"/>
    </row>
    <row r="32" spans="2:19" ht="15.75" thickBot="1">
      <c r="B32" s="381"/>
      <c r="C32" s="96"/>
      <c r="D32" s="96"/>
      <c r="E32" s="96"/>
      <c r="F32" s="96"/>
      <c r="G32" s="96"/>
      <c r="H32" s="96"/>
      <c r="I32" s="96"/>
      <c r="J32" s="96"/>
      <c r="K32" s="96"/>
      <c r="L32" s="449" t="s">
        <v>210</v>
      </c>
      <c r="M32" s="450"/>
      <c r="N32" s="450"/>
      <c r="O32" s="450"/>
      <c r="P32" s="450"/>
      <c r="Q32" s="450"/>
      <c r="R32" s="451"/>
      <c r="S32" s="382"/>
    </row>
    <row r="33" spans="2:19" ht="15.75" thickBot="1">
      <c r="B33" s="381"/>
      <c r="C33" s="96"/>
      <c r="D33" s="96"/>
      <c r="E33" s="96"/>
      <c r="F33" s="96"/>
      <c r="G33" s="96"/>
      <c r="H33" s="96"/>
      <c r="I33" s="96"/>
      <c r="J33" s="96"/>
      <c r="K33" s="96"/>
      <c r="L33" s="59" t="s">
        <v>211</v>
      </c>
      <c r="M33" s="62" t="s">
        <v>11</v>
      </c>
      <c r="N33" s="60" t="s">
        <v>158</v>
      </c>
      <c r="O33" s="60" t="s">
        <v>12</v>
      </c>
      <c r="P33" s="60" t="s">
        <v>13</v>
      </c>
      <c r="Q33" s="60" t="s">
        <v>14</v>
      </c>
      <c r="R33" s="304" t="s">
        <v>22</v>
      </c>
      <c r="S33" s="382"/>
    </row>
    <row r="34" spans="2:19">
      <c r="B34" s="381"/>
      <c r="C34" s="96"/>
      <c r="D34" s="96"/>
      <c r="E34" s="96"/>
      <c r="F34" s="96"/>
      <c r="G34" s="96"/>
      <c r="H34" s="96"/>
      <c r="I34" s="96"/>
      <c r="J34" s="96"/>
      <c r="K34" s="96"/>
      <c r="L34" s="68" t="str">
        <f>F10</f>
        <v>US GI World Precious Minerals</v>
      </c>
      <c r="M34" s="69">
        <f ca="1">INDEX(LINEST(OFFSET(INDEX('AC4'!$E:$E,2),0,MATCH($L34,'AC4'!$E$1:$AC$1,0)-1,$D$14),'AC2'!$F$2:$J$109,1,),19-COLUMN())</f>
        <v>-5.7593402152083138E-3</v>
      </c>
      <c r="N34" s="69">
        <f ca="1">INDEX(LINEST(OFFSET(INDEX('AC4'!$E:$E,2),0,MATCH($L34,'AC4'!$E$1:$AC$1,0)-1,$D$14),'AC2'!$F$2:$J$109,1,),19-COLUMN())</f>
        <v>0.68434479971935358</v>
      </c>
      <c r="O34" s="69">
        <f ca="1">INDEX(LINEST(OFFSET(INDEX('AC4'!$E:$E,2),0,MATCH($L34,'AC4'!$E$1:$AC$1,0)-1,$D$14),'AC2'!$F$2:$J$109,1,),19-COLUMN())</f>
        <v>1.3609847249976792</v>
      </c>
      <c r="P34" s="69">
        <f ca="1">INDEX(LINEST(OFFSET(INDEX('AC4'!$E:$E,2),0,MATCH($L34,'AC4'!$E$1:$AC$1,0)-1,$D$14),'AC2'!$F$2:$J$109,1,),19-COLUMN())</f>
        <v>-0.79438672184837722</v>
      </c>
      <c r="Q34" s="69">
        <f ca="1">INDEX(LINEST(OFFSET(INDEX('AC4'!$E:$E,2),0,MATCH($L34,'AC4'!$E$1:$AC$1,0)-1,$D$14),'AC2'!$F$2:$J$109,1,),19-COLUMN())</f>
        <v>-0.16014180817680845</v>
      </c>
      <c r="R34" s="305">
        <f ca="1">INDEX(LINEST(OFFSET(INDEX('AC4'!$E:$E,2),0,MATCH($L34,'AC4'!$E$1:$AC$1,0)-1,$D$14),'AC2'!$F$2:$J$109,1,),19-COLUMN())</f>
        <v>2.5919346055080732</v>
      </c>
      <c r="S34" s="382"/>
    </row>
    <row r="35" spans="2:19" ht="15.75" thickBot="1">
      <c r="B35" s="381"/>
      <c r="C35" s="96"/>
      <c r="D35" s="96"/>
      <c r="E35" s="96"/>
      <c r="F35" s="96"/>
      <c r="G35" s="96"/>
      <c r="H35" s="96"/>
      <c r="I35" s="96"/>
      <c r="J35" s="96"/>
      <c r="K35" s="96"/>
      <c r="L35" s="73" t="s">
        <v>222</v>
      </c>
      <c r="M35" s="74">
        <f ca="1">_xlfn.T.DIST.2T(ABS(M34/INDEX(LINEST(OFFSET(INDEX('AC4'!$E:$E,2),0,MATCH($L34,'AC4'!$E$1:$AC$1,0)-1,$D$14),'AC2'!$F$2:$J$109,1,1),2,19-COLUMN())),INDEX(LINEST(OFFSET(INDEX('AC4'!$E:$E,2),0,MATCH($L34,'AC4'!$E$1:$AC$1,0)-1,$D$14),'AC2'!$F$2:$J$109,1,1),4,2))</f>
        <v>0.43486345795080261</v>
      </c>
      <c r="N35" s="74">
        <f ca="1">_xlfn.T.DIST.2T(ABS(N34/INDEX(LINEST(OFFSET(INDEX('AC4'!$E:$E,2),0,MATCH($L34,'AC4'!$E$1:$AC$1,0)-1,$D$14),'AC2'!$F$2:$J$109,1,1),2,19-COLUMN())),INDEX(LINEST(OFFSET(INDEX('AC4'!$E:$E,2),0,MATCH($L34,'AC4'!$E$1:$AC$1,0)-1,$D$14),'AC2'!$F$2:$J$109,1,1),4,2))</f>
        <v>3.683188344073792E-4</v>
      </c>
      <c r="O35" s="74">
        <f ca="1">_xlfn.T.DIST.2T(ABS(O34/INDEX(LINEST(OFFSET(INDEX('AC4'!$E:$E,2),0,MATCH($L34,'AC4'!$E$1:$AC$1,0)-1,$D$14),'AC2'!$F$2:$J$109,1,1),2,19-COLUMN())),INDEX(LINEST(OFFSET(INDEX('AC4'!$E:$E,2),0,MATCH($L34,'AC4'!$E$1:$AC$1,0)-1,$D$14),'AC2'!$F$2:$J$109,1,1),4,2))</f>
        <v>1.3155177685775295E-2</v>
      </c>
      <c r="P35" s="74">
        <f ca="1">_xlfn.T.DIST.2T(ABS(P34/INDEX(LINEST(OFFSET(INDEX('AC4'!$E:$E,2),0,MATCH($L34,'AC4'!$E$1:$AC$1,0)-1,$D$14),'AC2'!$F$2:$J$109,1,1),2,19-COLUMN())),INDEX(LINEST(OFFSET(INDEX('AC4'!$E:$E,2),0,MATCH($L34,'AC4'!$E$1:$AC$1,0)-1,$D$14),'AC2'!$F$2:$J$109,1,1),4,2))</f>
        <v>9.081674270367103E-2</v>
      </c>
      <c r="Q35" s="74">
        <f ca="1">_xlfn.T.DIST.2T(ABS(Q34/INDEX(LINEST(OFFSET(INDEX('AC4'!$E:$E,2),0,MATCH($L34,'AC4'!$E$1:$AC$1,0)-1,$D$14),'AC2'!$F$2:$J$109,1,1),2,19-COLUMN())),INDEX(LINEST(OFFSET(INDEX('AC4'!$E:$E,2),0,MATCH($L34,'AC4'!$E$1:$AC$1,0)-1,$D$14),'AC2'!$F$2:$J$109,1,1),4,2))</f>
        <v>0.62602783709803012</v>
      </c>
      <c r="R35" s="310">
        <f ca="1">_xlfn.T.DIST.2T(ABS(R34/INDEX(LINEST(OFFSET(INDEX('AC4'!$E:$E,2),0,MATCH($L34,'AC4'!$E$1:$AC$1,0)-1,$D$14),'AC2'!$F$2:$J$109,1,1),2,19-COLUMN())),INDEX(LINEST(OFFSET(INDEX('AC4'!$E:$E,2),0,MATCH($L34,'AC4'!$E$1:$AC$1,0)-1,$D$14),'AC2'!$F$2:$J$109,1,1),4,2))</f>
        <v>5.9888143680658978E-9</v>
      </c>
      <c r="S35" s="382"/>
    </row>
    <row r="36" spans="2:19">
      <c r="B36" s="381"/>
      <c r="C36" s="96"/>
      <c r="D36" s="96"/>
      <c r="E36" s="96"/>
      <c r="F36" s="96"/>
      <c r="G36" s="96"/>
      <c r="H36" s="96"/>
      <c r="I36" s="96"/>
      <c r="J36" s="96"/>
      <c r="K36" s="96"/>
      <c r="L36" s="78" t="str">
        <f>F11</f>
        <v>Vestas</v>
      </c>
      <c r="M36" s="79">
        <f ca="1">INDEX(LINEST(OFFSET(INDEX('AC4'!$E:$E,2),0,MATCH($L36,'AC4'!$E$1:$AC$1,0)-1,$D$14),'AC2'!$F$2:$J$109,1,),19-COLUMN())</f>
        <v>2.1802770650369346E-3</v>
      </c>
      <c r="N36" s="79">
        <f ca="1">INDEX(LINEST(OFFSET(INDEX('AC4'!$E:$E,2),0,MATCH($L36,'AC4'!$E$1:$AC$1,0)-1,$D$14),'AC2'!$F$2:$J$109,1,),19-COLUMN())</f>
        <v>1.3953552497591923</v>
      </c>
      <c r="O36" s="79">
        <f ca="1">INDEX(LINEST(OFFSET(INDEX('AC4'!$E:$E,2),0,MATCH($L36,'AC4'!$E$1:$AC$1,0)-1,$D$14),'AC2'!$F$2:$J$109,1,),19-COLUMN())</f>
        <v>2.0404220718254003</v>
      </c>
      <c r="P36" s="79">
        <f ca="1">INDEX(LINEST(OFFSET(INDEX('AC4'!$E:$E,2),0,MATCH($L36,'AC4'!$E$1:$AC$1,0)-1,$D$14),'AC2'!$F$2:$J$109,1,),19-COLUMN())</f>
        <v>0.96354539792443217</v>
      </c>
      <c r="Q36" s="79">
        <f ca="1">INDEX(LINEST(OFFSET(INDEX('AC4'!$E:$E,2),0,MATCH($L36,'AC4'!$E$1:$AC$1,0)-1,$D$14),'AC2'!$F$2:$J$109,1,),19-COLUMN())</f>
        <v>-0.42170357390045571</v>
      </c>
      <c r="R36" s="307">
        <f ca="1">INDEX(LINEST(OFFSET(INDEX('AC4'!$E:$E,2),0,MATCH($L36,'AC4'!$E$1:$AC$1,0)-1,$D$14),'AC2'!$F$2:$J$109,1,),19-COLUMN())</f>
        <v>-2.1312105104673718</v>
      </c>
      <c r="S36" s="382"/>
    </row>
    <row r="37" spans="2:19" ht="15.75" thickBot="1">
      <c r="B37" s="381"/>
      <c r="C37" s="96"/>
      <c r="D37" s="96"/>
      <c r="E37" s="96"/>
      <c r="F37" s="96"/>
      <c r="G37" s="96"/>
      <c r="H37" s="96"/>
      <c r="I37" s="96"/>
      <c r="J37" s="96"/>
      <c r="K37" s="96"/>
      <c r="L37" s="81" t="s">
        <v>222</v>
      </c>
      <c r="M37" s="82">
        <f ca="1">_xlfn.T.DIST.2T(ABS(M36/INDEX(LINEST(OFFSET(INDEX('AC4'!$E:$E,2),0,MATCH($L36,'AC4'!$E$1:$AC$1,0)-1,$D$14),'AC2'!$F$2:$J$109,1,1),2,19-COLUMN())),INDEX(LINEST(OFFSET(INDEX('AC4'!$E:$E,2),0,MATCH($L36,'AC4'!$E$1:$AC$1,0)-1,$D$14),'AC2'!$F$2:$J$109,1,1),4,2))</f>
        <v>0.87234777269176367</v>
      </c>
      <c r="N37" s="82">
        <f ca="1">_xlfn.T.DIST.2T(ABS(N36/INDEX(LINEST(OFFSET(INDEX('AC4'!$E:$E,2),0,MATCH($L36,'AC4'!$E$1:$AC$1,0)-1,$D$14),'AC2'!$F$2:$J$109,1,1),2,19-COLUMN())),INDEX(LINEST(OFFSET(INDEX('AC4'!$E:$E,2),0,MATCH($L36,'AC4'!$E$1:$AC$1,0)-1,$D$14),'AC2'!$F$2:$J$109,1,1),4,2))</f>
        <v>9.0223589632848196E-5</v>
      </c>
      <c r="O37" s="82">
        <f ca="1">_xlfn.T.DIST.2T(ABS(O36/INDEX(LINEST(OFFSET(INDEX('AC4'!$E:$E,2),0,MATCH($L36,'AC4'!$E$1:$AC$1,0)-1,$D$14),'AC2'!$F$2:$J$109,1,1),2,19-COLUMN())),INDEX(LINEST(OFFSET(INDEX('AC4'!$E:$E,2),0,MATCH($L36,'AC4'!$E$1:$AC$1,0)-1,$D$14),'AC2'!$F$2:$J$109,1,1),4,2))</f>
        <v>4.2578636158453025E-2</v>
      </c>
      <c r="P37" s="82">
        <f ca="1">_xlfn.T.DIST.2T(ABS(P36/INDEX(LINEST(OFFSET(INDEX('AC4'!$E:$E,2),0,MATCH($L36,'AC4'!$E$1:$AC$1,0)-1,$D$14),'AC2'!$F$2:$J$109,1,1),2,19-COLUMN())),INDEX(LINEST(OFFSET(INDEX('AC4'!$E:$E,2),0,MATCH($L36,'AC4'!$E$1:$AC$1,0)-1,$D$14),'AC2'!$F$2:$J$109,1,1),4,2))</f>
        <v>0.26368453368777311</v>
      </c>
      <c r="Q37" s="82">
        <f ca="1">_xlfn.T.DIST.2T(ABS(Q36/INDEX(LINEST(OFFSET(INDEX('AC4'!$E:$E,2),0,MATCH($L36,'AC4'!$E$1:$AC$1,0)-1,$D$14),'AC2'!$F$2:$J$109,1,1),2,19-COLUMN())),INDEX(LINEST(OFFSET(INDEX('AC4'!$E:$E,2),0,MATCH($L36,'AC4'!$E$1:$AC$1,0)-1,$D$14),'AC2'!$F$2:$J$109,1,1),4,2))</f>
        <v>0.48638359768546469</v>
      </c>
      <c r="R37" s="308">
        <f ca="1">_xlfn.T.DIST.2T(ABS(R36/INDEX(LINEST(OFFSET(INDEX('AC4'!$E:$E,2),0,MATCH($L36,'AC4'!$E$1:$AC$1,0)-1,$D$14),'AC2'!$F$2:$J$109,1,1),2,19-COLUMN())),INDEX(LINEST(OFFSET(INDEX('AC4'!$E:$E,2),0,MATCH($L36,'AC4'!$E$1:$AC$1,0)-1,$D$14),'AC2'!$F$2:$J$109,1,1),4,2))</f>
        <v>5.5280937744080928E-3</v>
      </c>
      <c r="S37" s="382"/>
    </row>
    <row r="38" spans="2:19">
      <c r="B38" s="381"/>
      <c r="C38" s="96"/>
      <c r="D38" s="96"/>
      <c r="E38" s="96"/>
      <c r="F38" s="96"/>
      <c r="G38" s="96"/>
      <c r="H38" s="96"/>
      <c r="I38" s="96"/>
      <c r="J38" s="96"/>
      <c r="K38" s="96"/>
      <c r="L38" s="75" t="s">
        <v>129</v>
      </c>
      <c r="M38" s="76">
        <f>INDEX(LINEST('AC3'!$BC$2:$BC$109,'AC2'!$F$2:$J$109,1,),19-COLUMN())</f>
        <v>5.9235360898787564E-4</v>
      </c>
      <c r="N38" s="76">
        <f>INDEX(LINEST('AC3'!$BC$2:$BC$109,'AC2'!$F$2:$J$109,1,),19-COLUMN())</f>
        <v>1.2531531597512253</v>
      </c>
      <c r="O38" s="76">
        <f>INDEX(LINEST('AC3'!$BC$2:$BC$109,'AC2'!$F$2:$J$109,1,),19-COLUMN())</f>
        <v>1.9045346024598553</v>
      </c>
      <c r="P38" s="76">
        <f>INDEX(LINEST('AC3'!$BC$2:$BC$109,'AC2'!$F$2:$J$109,1,),19-COLUMN())</f>
        <v>0.61195897396987087</v>
      </c>
      <c r="Q38" s="76">
        <f>INDEX(LINEST('AC3'!$BC$2:$BC$109,'AC2'!$F$2:$J$109,1,),19-COLUMN())</f>
        <v>-0.36939122075572628</v>
      </c>
      <c r="R38" s="309">
        <f>INDEX(LINEST('AC3'!$BC$2:$BC$109,'AC2'!$F$2:$J$109,1,),19-COLUMN())</f>
        <v>-1.1865814872722835</v>
      </c>
      <c r="S38" s="382"/>
    </row>
    <row r="39" spans="2:19" ht="15.75" thickBot="1">
      <c r="B39" s="381"/>
      <c r="C39" s="96"/>
      <c r="D39" s="96"/>
      <c r="E39" s="96"/>
      <c r="F39" s="96"/>
      <c r="G39" s="96"/>
      <c r="H39" s="96"/>
      <c r="I39" s="96"/>
      <c r="J39" s="96"/>
      <c r="K39" s="96"/>
      <c r="L39" s="70" t="s">
        <v>222</v>
      </c>
      <c r="M39" s="71">
        <f>_xlfn.T.DIST.2T(ABS(M38/INDEX(LINEST('AC3'!$BC$2:$BC$109,'AC2'!$F$2:$J$109,1,1),2,19-COLUMN())),INDEX(LINEST('AC3'!$BC$2:$BC$109,'AC2'!$F$2:$J$109,1,1),4,2))</f>
        <v>0.95773581844669953</v>
      </c>
      <c r="N39" s="71">
        <f>_xlfn.T.DIST.2T(ABS(N38/INDEX(LINEST('AC3'!$BC$2:$BC$109,'AC2'!$F$2:$J$109,1,1),2,19-COLUMN())),INDEX(LINEST('AC3'!$BC$2:$BC$109,'AC2'!$F$2:$J$109,1,1),4,2))</f>
        <v>2.2333275493824555E-5</v>
      </c>
      <c r="O39" s="71">
        <f>_xlfn.T.DIST.2T(ABS(O38/INDEX(LINEST('AC3'!$BC$2:$BC$109,'AC2'!$F$2:$J$109,1,1),2,19-COLUMN())),INDEX(LINEST('AC3'!$BC$2:$BC$109,'AC2'!$F$2:$J$109,1,1),4,2))</f>
        <v>2.1952445831432313E-2</v>
      </c>
      <c r="P39" s="71">
        <f>_xlfn.T.DIST.2T(ABS(P38/INDEX(LINEST('AC3'!$BC$2:$BC$109,'AC2'!$F$2:$J$109,1,1),2,19-COLUMN())),INDEX(LINEST('AC3'!$BC$2:$BC$109,'AC2'!$F$2:$J$109,1,1),4,2))</f>
        <v>0.3882438829039172</v>
      </c>
      <c r="Q39" s="71">
        <f>_xlfn.T.DIST.2T(ABS(Q38/INDEX(LINEST('AC3'!$BC$2:$BC$109,'AC2'!$F$2:$J$109,1,1),2,19-COLUMN())),INDEX(LINEST('AC3'!$BC$2:$BC$109,'AC2'!$F$2:$J$109,1,1),4,2))</f>
        <v>0.45927702974717499</v>
      </c>
      <c r="R39" s="311">
        <f>_xlfn.T.DIST.2T(ABS(R38/INDEX(LINEST('AC3'!$BC$2:$BC$109,'AC2'!$F$2:$J$109,1,1),2,19-COLUMN())),INDEX(LINEST('AC3'!$BC$2:$BC$109,'AC2'!$F$2:$J$109,1,1),4,2))</f>
        <v>5.8166300064440513E-2</v>
      </c>
      <c r="S39" s="382"/>
    </row>
    <row r="40" spans="2:19">
      <c r="B40" s="381"/>
      <c r="C40" s="96"/>
      <c r="D40" s="96"/>
      <c r="E40" s="96"/>
      <c r="F40" s="96"/>
      <c r="G40" s="96"/>
      <c r="H40" s="96"/>
      <c r="I40" s="96"/>
      <c r="J40" s="96"/>
      <c r="K40" s="96"/>
      <c r="L40" s="95"/>
      <c r="M40" s="132"/>
      <c r="N40" s="132"/>
      <c r="O40" s="132"/>
      <c r="P40" s="132"/>
      <c r="Q40" s="132"/>
      <c r="R40" s="132"/>
      <c r="S40" s="382"/>
    </row>
    <row r="41" spans="2:19">
      <c r="B41" s="381"/>
      <c r="C41" s="96"/>
      <c r="D41" s="96"/>
      <c r="E41" s="96"/>
      <c r="F41" s="96"/>
      <c r="G41" s="96"/>
      <c r="H41" s="96"/>
      <c r="I41" s="96"/>
      <c r="J41" s="96"/>
      <c r="K41" s="96"/>
      <c r="L41" s="133"/>
      <c r="M41" s="117"/>
      <c r="N41" s="117"/>
      <c r="O41" s="117"/>
      <c r="P41" s="117"/>
      <c r="Q41" s="117"/>
      <c r="R41" s="117"/>
      <c r="S41" s="382"/>
    </row>
    <row r="42" spans="2:19">
      <c r="B42" s="381"/>
      <c r="C42" s="96"/>
      <c r="D42" s="96"/>
      <c r="E42" s="96"/>
      <c r="F42" s="96"/>
      <c r="G42" s="96"/>
      <c r="H42" s="96"/>
      <c r="I42" s="96"/>
      <c r="J42" s="96"/>
      <c r="K42" s="96"/>
      <c r="L42" s="98"/>
      <c r="M42" s="115"/>
      <c r="N42" s="115"/>
      <c r="O42" s="115"/>
      <c r="P42" s="115"/>
      <c r="Q42" s="115"/>
      <c r="R42" s="115"/>
      <c r="S42" s="382"/>
    </row>
    <row r="43" spans="2:19">
      <c r="B43" s="381"/>
      <c r="C43" s="96"/>
      <c r="D43" s="96"/>
      <c r="E43" s="96"/>
      <c r="F43" s="96"/>
      <c r="G43" s="96"/>
      <c r="H43" s="96"/>
      <c r="I43" s="96"/>
      <c r="J43" s="96"/>
      <c r="K43" s="96"/>
      <c r="L43" s="134"/>
      <c r="M43" s="116"/>
      <c r="N43" s="116"/>
      <c r="O43" s="116"/>
      <c r="P43" s="116"/>
      <c r="Q43" s="116"/>
      <c r="R43" s="116"/>
      <c r="S43" s="382"/>
    </row>
    <row r="44" spans="2:19">
      <c r="B44" s="381"/>
      <c r="C44" s="96"/>
      <c r="D44" s="96"/>
      <c r="E44" s="96"/>
      <c r="F44" s="96"/>
      <c r="G44" s="96"/>
      <c r="H44" s="96"/>
      <c r="I44" s="96"/>
      <c r="J44" s="96"/>
      <c r="K44" s="96"/>
      <c r="L44" s="98"/>
      <c r="M44" s="99"/>
      <c r="N44" s="99"/>
      <c r="O44" s="99"/>
      <c r="P44" s="99"/>
      <c r="Q44" s="99"/>
      <c r="R44" s="99"/>
      <c r="S44" s="382"/>
    </row>
    <row r="45" spans="2:19">
      <c r="B45" s="381"/>
      <c r="C45" s="96"/>
      <c r="D45" s="96"/>
      <c r="E45" s="96"/>
      <c r="H45" s="96"/>
      <c r="I45" s="96"/>
      <c r="J45" s="96"/>
      <c r="K45" s="96"/>
      <c r="L45" s="95"/>
      <c r="M45" s="97"/>
      <c r="N45" s="97"/>
      <c r="O45" s="97"/>
      <c r="P45" s="97"/>
      <c r="Q45" s="97"/>
      <c r="R45" s="97"/>
      <c r="S45" s="382"/>
    </row>
    <row r="46" spans="2:19">
      <c r="B46" s="381"/>
      <c r="C46" s="96"/>
      <c r="D46" s="96"/>
      <c r="E46" s="96"/>
      <c r="F46" s="396"/>
      <c r="G46" s="396"/>
      <c r="H46" s="96"/>
      <c r="I46" s="96"/>
      <c r="J46" s="96"/>
      <c r="K46" s="96"/>
      <c r="L46" s="98"/>
      <c r="M46" s="99"/>
      <c r="N46" s="99"/>
      <c r="O46" s="99"/>
      <c r="P46" s="99"/>
      <c r="Q46" s="99"/>
      <c r="R46" s="99"/>
      <c r="S46" s="382"/>
    </row>
    <row r="47" spans="2:19">
      <c r="B47" s="381"/>
      <c r="C47" s="96"/>
      <c r="D47" s="96"/>
      <c r="E47" s="96"/>
      <c r="H47" s="96"/>
      <c r="I47" s="96"/>
      <c r="J47" s="96"/>
      <c r="K47" s="96"/>
      <c r="L47" s="95"/>
      <c r="M47" s="97"/>
      <c r="N47" s="100"/>
      <c r="O47" s="100"/>
      <c r="P47" s="100"/>
      <c r="Q47" s="100"/>
      <c r="R47" s="100"/>
      <c r="S47" s="382"/>
    </row>
    <row r="48" spans="2:19" ht="21.75" customHeight="1" thickBot="1">
      <c r="B48" s="393"/>
      <c r="C48" s="394"/>
      <c r="D48" s="394"/>
      <c r="E48" s="394"/>
      <c r="F48" s="394"/>
      <c r="G48" s="394"/>
      <c r="H48" s="394"/>
      <c r="I48" s="394"/>
      <c r="J48" s="394"/>
      <c r="K48" s="394"/>
      <c r="L48" s="34"/>
      <c r="M48" s="34"/>
      <c r="N48" s="34"/>
      <c r="O48" s="34"/>
      <c r="P48" s="34"/>
      <c r="Q48" s="34"/>
      <c r="R48" s="34"/>
      <c r="S48" s="395"/>
    </row>
    <row r="49" spans="2:11">
      <c r="B49" s="396"/>
      <c r="C49" s="396"/>
      <c r="D49" s="396"/>
      <c r="E49" s="396"/>
      <c r="H49" s="396"/>
      <c r="I49" s="396"/>
      <c r="J49" s="396"/>
      <c r="K49" s="396"/>
    </row>
  </sheetData>
  <sheetProtection algorithmName="SHA-512" hashValue="3qyjvxqOl2wRskUEAZaIQ7qpGtvz2nzU8Uf9i7/1N0SuqzEHgBmHUYSNe3WuA8mVkLLoxEqOmq0OouZbnTBM5w==" saltValue="g3+DcpnSn/XyWwGy3P32eQ==" spinCount="100000" sheet="1" objects="1" scenarios="1"/>
  <mergeCells count="6">
    <mergeCell ref="F2:N4"/>
    <mergeCell ref="C9:D9"/>
    <mergeCell ref="I9:J9"/>
    <mergeCell ref="L32:R32"/>
    <mergeCell ref="L25:O25"/>
    <mergeCell ref="L9:O9"/>
  </mergeCells>
  <dataValidations count="3">
    <dataValidation type="decimal" allowBlank="1" showInputMessage="1" showErrorMessage="1" sqref="G11">
      <formula1>0</formula1>
      <formula2>1</formula2>
    </dataValidation>
    <dataValidation type="list" allowBlank="1" showInputMessage="1" showErrorMessage="1" sqref="J10 G13">
      <formula1>"yes,no"</formula1>
    </dataValidation>
    <dataValidation type="decimal" allowBlank="1" showInputMessage="1" showErrorMessage="1" sqref="G10">
      <formula1>-10</formula1>
      <formula2>10</formula2>
    </dataValidation>
  </dataValidations>
  <pageMargins left="0.7" right="0.7" top="0.78740157499999996" bottom="0.78740157499999996" header="0.3" footer="0.3"/>
  <pageSetup paperSize="9" orientation="portrait" r:id="rId1"/>
  <ignoredErrors>
    <ignoredError sqref="M35:R39"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'AC3'!$BS$1:$CI$1</xm:f>
          </x14:formula1>
          <xm:sqref>F10:F11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CA83E"/>
  </sheetPr>
  <dimension ref="B2:S49"/>
  <sheetViews>
    <sheetView workbookViewId="0"/>
  </sheetViews>
  <sheetFormatPr baseColWidth="10" defaultRowHeight="15"/>
  <cols>
    <col min="1" max="1" width="5.7109375" style="9" customWidth="1"/>
    <col min="2" max="3" width="11.42578125" style="9" customWidth="1"/>
    <col min="4" max="4" width="16.140625" style="9" bestFit="1" customWidth="1"/>
    <col min="5" max="8" width="12.7109375" style="9" customWidth="1"/>
    <col min="9" max="9" width="16.140625" style="9" bestFit="1" customWidth="1"/>
    <col min="10" max="13" width="12.7109375" style="9" customWidth="1"/>
    <col min="14" max="14" width="16.140625" style="9" bestFit="1" customWidth="1"/>
    <col min="15" max="17" width="12.7109375" style="9" customWidth="1"/>
    <col min="18" max="18" width="11.42578125" style="9"/>
    <col min="19" max="19" width="4.85546875" style="9" customWidth="1"/>
    <col min="20" max="16384" width="11.42578125" style="9"/>
  </cols>
  <sheetData>
    <row r="2" spans="2:19" ht="15" customHeight="1">
      <c r="E2" s="14"/>
      <c r="F2" s="452"/>
      <c r="G2" s="452"/>
      <c r="H2" s="452"/>
      <c r="I2" s="452"/>
      <c r="J2" s="452"/>
      <c r="K2" s="452"/>
      <c r="L2" s="452"/>
      <c r="M2" s="452"/>
      <c r="N2" s="452"/>
      <c r="O2" s="14"/>
    </row>
    <row r="3" spans="2:19" ht="15" customHeight="1">
      <c r="E3" s="93"/>
      <c r="F3" s="452"/>
      <c r="G3" s="452"/>
      <c r="H3" s="452"/>
      <c r="I3" s="452"/>
      <c r="J3" s="452"/>
      <c r="K3" s="452"/>
      <c r="L3" s="452"/>
      <c r="M3" s="452"/>
      <c r="N3" s="452"/>
      <c r="O3" s="93"/>
    </row>
    <row r="4" spans="2:19" ht="15" customHeight="1">
      <c r="E4" s="14"/>
      <c r="F4" s="452"/>
      <c r="G4" s="452"/>
      <c r="H4" s="452"/>
      <c r="I4" s="452"/>
      <c r="J4" s="452"/>
      <c r="K4" s="452"/>
      <c r="L4" s="452"/>
      <c r="M4" s="452"/>
      <c r="N4" s="452"/>
      <c r="O4" s="14"/>
    </row>
    <row r="6" spans="2:19" ht="15.75" thickBot="1"/>
    <row r="7" spans="2:19" ht="19.5" thickBot="1">
      <c r="B7" s="250" t="s">
        <v>212</v>
      </c>
      <c r="C7" s="251"/>
      <c r="D7" s="251"/>
      <c r="E7" s="251"/>
      <c r="F7" s="251"/>
      <c r="G7" s="251"/>
      <c r="H7" s="251"/>
      <c r="I7" s="251"/>
      <c r="J7" s="251"/>
      <c r="K7" s="251"/>
      <c r="L7" s="251"/>
      <c r="M7" s="251"/>
      <c r="N7" s="251"/>
      <c r="O7" s="251"/>
      <c r="P7" s="251"/>
      <c r="Q7" s="251"/>
      <c r="R7" s="251"/>
      <c r="S7" s="252"/>
    </row>
    <row r="8" spans="2:19">
      <c r="B8" s="191"/>
      <c r="C8" s="190"/>
      <c r="D8" s="190"/>
      <c r="E8" s="190"/>
      <c r="F8" s="190"/>
      <c r="G8" s="190"/>
      <c r="H8" s="190"/>
      <c r="I8" s="190"/>
      <c r="J8" s="190"/>
      <c r="K8" s="190"/>
      <c r="L8" s="185"/>
      <c r="M8" s="185"/>
      <c r="N8" s="185"/>
      <c r="O8" s="185"/>
      <c r="P8" s="185"/>
      <c r="Q8" s="185"/>
      <c r="R8" s="185"/>
      <c r="S8" s="192"/>
    </row>
    <row r="9" spans="2:19" ht="15" customHeight="1">
      <c r="B9" s="31"/>
      <c r="C9" s="340" t="s">
        <v>160</v>
      </c>
      <c r="D9" s="340"/>
      <c r="E9" s="340"/>
      <c r="F9" s="340"/>
      <c r="G9" s="340"/>
      <c r="H9" s="340"/>
      <c r="I9" s="340"/>
      <c r="J9" s="340"/>
      <c r="K9" s="340"/>
      <c r="L9" s="340"/>
      <c r="M9" s="340"/>
      <c r="N9" s="340"/>
      <c r="O9" s="340"/>
      <c r="P9" s="340"/>
      <c r="Q9" s="340"/>
      <c r="R9" s="340"/>
      <c r="S9" s="192"/>
    </row>
    <row r="10" spans="2:19" ht="15" customHeight="1">
      <c r="B10" s="31"/>
      <c r="C10" s="340"/>
      <c r="D10" s="340"/>
      <c r="E10" s="340"/>
      <c r="F10" s="340"/>
      <c r="G10" s="340"/>
      <c r="H10" s="340"/>
      <c r="I10" s="340"/>
      <c r="J10" s="340"/>
      <c r="K10" s="340"/>
      <c r="L10" s="340"/>
      <c r="M10" s="340"/>
      <c r="N10" s="340"/>
      <c r="O10" s="340"/>
      <c r="P10" s="340"/>
      <c r="Q10" s="340"/>
      <c r="R10" s="340"/>
      <c r="S10" s="192"/>
    </row>
    <row r="11" spans="2:19" ht="15" customHeight="1">
      <c r="B11" s="169"/>
      <c r="C11" s="340"/>
      <c r="D11" s="340"/>
      <c r="E11" s="340"/>
      <c r="F11" s="340"/>
      <c r="G11" s="340"/>
      <c r="H11" s="340"/>
      <c r="I11" s="340"/>
      <c r="J11" s="340"/>
      <c r="K11" s="340"/>
      <c r="L11" s="340"/>
      <c r="M11" s="340"/>
      <c r="N11" s="340"/>
      <c r="O11" s="340"/>
      <c r="P11" s="340"/>
      <c r="Q11" s="340"/>
      <c r="R11" s="340"/>
      <c r="S11" s="184"/>
    </row>
    <row r="12" spans="2:19" ht="15" customHeight="1">
      <c r="B12" s="169"/>
      <c r="C12" s="340"/>
      <c r="D12" s="340"/>
      <c r="E12" s="340"/>
      <c r="F12" s="340"/>
      <c r="G12" s="340"/>
      <c r="H12" s="340"/>
      <c r="I12" s="340"/>
      <c r="J12" s="340"/>
      <c r="K12" s="340"/>
      <c r="L12" s="340"/>
      <c r="M12" s="340"/>
      <c r="N12" s="340"/>
      <c r="O12" s="340"/>
      <c r="P12" s="340"/>
      <c r="Q12" s="340"/>
      <c r="R12" s="340"/>
      <c r="S12" s="184"/>
    </row>
    <row r="13" spans="2:19" ht="15" customHeight="1">
      <c r="B13" s="169"/>
      <c r="C13" s="340"/>
      <c r="D13" s="340"/>
      <c r="E13" s="340"/>
      <c r="F13" s="340"/>
      <c r="G13" s="340"/>
      <c r="H13" s="340"/>
      <c r="I13" s="340"/>
      <c r="J13" s="340"/>
      <c r="K13" s="340"/>
      <c r="L13" s="340"/>
      <c r="M13" s="340"/>
      <c r="N13" s="340"/>
      <c r="O13" s="340"/>
      <c r="P13" s="340"/>
      <c r="Q13" s="340"/>
      <c r="R13" s="340"/>
      <c r="S13" s="184"/>
    </row>
    <row r="14" spans="2:19" ht="15" customHeight="1">
      <c r="B14" s="169"/>
      <c r="C14" s="340"/>
      <c r="D14" s="340"/>
      <c r="E14" s="340"/>
      <c r="F14" s="340"/>
      <c r="G14" s="340"/>
      <c r="H14" s="340"/>
      <c r="I14" s="340"/>
      <c r="J14" s="340"/>
      <c r="K14" s="340"/>
      <c r="L14" s="340"/>
      <c r="M14" s="340"/>
      <c r="N14" s="340"/>
      <c r="O14" s="340"/>
      <c r="P14" s="340"/>
      <c r="Q14" s="340"/>
      <c r="R14" s="340"/>
      <c r="S14" s="184"/>
    </row>
    <row r="15" spans="2:19" ht="15" customHeight="1">
      <c r="B15" s="169"/>
      <c r="C15" s="340"/>
      <c r="D15" s="340"/>
      <c r="E15" s="340"/>
      <c r="F15" s="340"/>
      <c r="G15" s="340"/>
      <c r="H15" s="340"/>
      <c r="I15" s="340"/>
      <c r="J15" s="340"/>
      <c r="K15" s="340"/>
      <c r="L15" s="340"/>
      <c r="M15" s="340"/>
      <c r="N15" s="340"/>
      <c r="O15" s="340"/>
      <c r="P15" s="340"/>
      <c r="Q15" s="340"/>
      <c r="R15" s="340"/>
      <c r="S15" s="184"/>
    </row>
    <row r="16" spans="2:19" ht="15" customHeight="1">
      <c r="B16" s="169"/>
      <c r="C16" s="340"/>
      <c r="D16" s="340"/>
      <c r="E16" s="340"/>
      <c r="F16" s="340"/>
      <c r="G16" s="340"/>
      <c r="H16" s="340"/>
      <c r="I16" s="340"/>
      <c r="J16" s="340"/>
      <c r="K16" s="340"/>
      <c r="L16" s="340"/>
      <c r="M16" s="340"/>
      <c r="N16" s="340"/>
      <c r="O16" s="340"/>
      <c r="P16" s="340"/>
      <c r="Q16" s="340"/>
      <c r="R16" s="340"/>
      <c r="S16" s="184"/>
    </row>
    <row r="17" spans="2:19" ht="15" customHeight="1">
      <c r="B17" s="169"/>
      <c r="C17" s="340"/>
      <c r="D17" s="340"/>
      <c r="E17" s="340"/>
      <c r="F17" s="340"/>
      <c r="G17" s="340"/>
      <c r="H17" s="340"/>
      <c r="I17" s="340"/>
      <c r="J17" s="340"/>
      <c r="K17" s="340"/>
      <c r="L17" s="340"/>
      <c r="M17" s="340"/>
      <c r="N17" s="340"/>
      <c r="O17" s="340"/>
      <c r="P17" s="340"/>
      <c r="Q17" s="340"/>
      <c r="R17" s="340"/>
      <c r="S17" s="184"/>
    </row>
    <row r="18" spans="2:19" ht="15" customHeight="1">
      <c r="B18" s="169"/>
      <c r="C18" s="340"/>
      <c r="D18" s="340"/>
      <c r="E18" s="340"/>
      <c r="F18" s="340"/>
      <c r="G18" s="340"/>
      <c r="H18" s="340"/>
      <c r="I18" s="340"/>
      <c r="J18" s="340"/>
      <c r="K18" s="340"/>
      <c r="L18" s="340"/>
      <c r="M18" s="340"/>
      <c r="N18" s="340"/>
      <c r="O18" s="340"/>
      <c r="P18" s="340"/>
      <c r="Q18" s="340"/>
      <c r="R18" s="340"/>
      <c r="S18" s="184"/>
    </row>
    <row r="19" spans="2:19" ht="15" customHeight="1">
      <c r="B19" s="169"/>
      <c r="C19" s="340"/>
      <c r="D19" s="340"/>
      <c r="E19" s="340"/>
      <c r="F19" s="340"/>
      <c r="G19" s="340"/>
      <c r="H19" s="340"/>
      <c r="I19" s="340"/>
      <c r="J19" s="340"/>
      <c r="K19" s="340"/>
      <c r="L19" s="340"/>
      <c r="M19" s="340"/>
      <c r="N19" s="340"/>
      <c r="O19" s="340"/>
      <c r="P19" s="340"/>
      <c r="Q19" s="340"/>
      <c r="R19" s="340"/>
      <c r="S19" s="184"/>
    </row>
    <row r="20" spans="2:19" ht="15" customHeight="1">
      <c r="B20" s="12"/>
      <c r="C20" s="340"/>
      <c r="D20" s="340"/>
      <c r="E20" s="340"/>
      <c r="F20" s="340"/>
      <c r="G20" s="340"/>
      <c r="H20" s="340"/>
      <c r="I20" s="340"/>
      <c r="J20" s="340"/>
      <c r="K20" s="340"/>
      <c r="L20" s="340"/>
      <c r="M20" s="340"/>
      <c r="N20" s="340"/>
      <c r="O20" s="340"/>
      <c r="P20" s="340"/>
      <c r="Q20" s="340"/>
      <c r="R20" s="340"/>
      <c r="S20" s="184"/>
    </row>
    <row r="21" spans="2:19" ht="15" customHeight="1">
      <c r="B21" s="12"/>
      <c r="C21" s="340"/>
      <c r="D21" s="340"/>
      <c r="E21" s="340"/>
      <c r="F21" s="340"/>
      <c r="G21" s="340"/>
      <c r="H21" s="340"/>
      <c r="I21" s="340"/>
      <c r="J21" s="340"/>
      <c r="K21" s="340"/>
      <c r="L21" s="340"/>
      <c r="M21" s="340"/>
      <c r="N21" s="340"/>
      <c r="O21" s="340"/>
      <c r="P21" s="340"/>
      <c r="Q21" s="340"/>
      <c r="R21" s="340"/>
      <c r="S21" s="184"/>
    </row>
    <row r="22" spans="2:19" ht="15" customHeight="1">
      <c r="B22" s="12"/>
      <c r="C22" s="340"/>
      <c r="D22" s="340"/>
      <c r="E22" s="340"/>
      <c r="F22" s="340"/>
      <c r="G22" s="340"/>
      <c r="H22" s="340"/>
      <c r="I22" s="340"/>
      <c r="J22" s="340"/>
      <c r="K22" s="340"/>
      <c r="L22" s="340"/>
      <c r="M22" s="340"/>
      <c r="N22" s="340"/>
      <c r="O22" s="340"/>
      <c r="P22" s="340"/>
      <c r="Q22" s="340"/>
      <c r="R22" s="340"/>
      <c r="S22" s="184"/>
    </row>
    <row r="23" spans="2:19" ht="15" customHeight="1">
      <c r="B23" s="12"/>
      <c r="C23" s="340"/>
      <c r="D23" s="340"/>
      <c r="E23" s="340"/>
      <c r="F23" s="340"/>
      <c r="G23" s="340"/>
      <c r="H23" s="340"/>
      <c r="I23" s="340"/>
      <c r="J23" s="340"/>
      <c r="K23" s="340"/>
      <c r="L23" s="340"/>
      <c r="M23" s="340"/>
      <c r="N23" s="340"/>
      <c r="O23" s="340"/>
      <c r="P23" s="340"/>
      <c r="Q23" s="340"/>
      <c r="R23" s="340"/>
      <c r="S23" s="184"/>
    </row>
    <row r="24" spans="2:19" ht="15" customHeight="1">
      <c r="B24" s="12"/>
      <c r="C24" s="340"/>
      <c r="D24" s="340"/>
      <c r="E24" s="340"/>
      <c r="F24" s="340"/>
      <c r="G24" s="340"/>
      <c r="H24" s="340"/>
      <c r="I24" s="340"/>
      <c r="J24" s="340"/>
      <c r="K24" s="340"/>
      <c r="L24" s="340"/>
      <c r="M24" s="340"/>
      <c r="N24" s="340"/>
      <c r="O24" s="340"/>
      <c r="P24" s="340"/>
      <c r="Q24" s="340"/>
      <c r="R24" s="340"/>
      <c r="S24" s="184"/>
    </row>
    <row r="25" spans="2:19" ht="15" customHeight="1">
      <c r="B25" s="12"/>
      <c r="C25" s="340"/>
      <c r="D25" s="340"/>
      <c r="E25" s="340"/>
      <c r="F25" s="340"/>
      <c r="G25" s="340"/>
      <c r="H25" s="340"/>
      <c r="I25" s="340"/>
      <c r="J25" s="340"/>
      <c r="K25" s="340"/>
      <c r="L25" s="340"/>
      <c r="M25" s="340"/>
      <c r="N25" s="340"/>
      <c r="O25" s="340"/>
      <c r="P25" s="340"/>
      <c r="Q25" s="340"/>
      <c r="R25" s="340"/>
      <c r="S25" s="184"/>
    </row>
    <row r="26" spans="2:19" ht="15" customHeight="1">
      <c r="B26" s="12"/>
      <c r="C26" s="340"/>
      <c r="D26" s="340"/>
      <c r="E26" s="340"/>
      <c r="F26" s="340"/>
      <c r="G26" s="340"/>
      <c r="H26" s="340"/>
      <c r="I26" s="340"/>
      <c r="J26" s="340"/>
      <c r="K26" s="340"/>
      <c r="L26" s="340"/>
      <c r="M26" s="340"/>
      <c r="N26" s="340"/>
      <c r="O26" s="340"/>
      <c r="P26" s="340"/>
      <c r="Q26" s="340"/>
      <c r="R26" s="340"/>
      <c r="S26" s="184"/>
    </row>
    <row r="27" spans="2:19" ht="15" customHeight="1">
      <c r="B27" s="12"/>
      <c r="C27" s="340"/>
      <c r="D27" s="340"/>
      <c r="E27" s="340"/>
      <c r="F27" s="340"/>
      <c r="G27" s="340"/>
      <c r="H27" s="340"/>
      <c r="I27" s="340"/>
      <c r="J27" s="340"/>
      <c r="K27" s="340"/>
      <c r="L27" s="340"/>
      <c r="M27" s="340"/>
      <c r="N27" s="340"/>
      <c r="O27" s="340"/>
      <c r="P27" s="340"/>
      <c r="Q27" s="340"/>
      <c r="R27" s="340"/>
      <c r="S27" s="184"/>
    </row>
    <row r="28" spans="2:19" ht="15" customHeight="1">
      <c r="B28" s="12"/>
      <c r="C28" s="340"/>
      <c r="D28" s="340"/>
      <c r="E28" s="340"/>
      <c r="F28" s="340"/>
      <c r="G28" s="340"/>
      <c r="H28" s="340"/>
      <c r="I28" s="340"/>
      <c r="J28" s="340"/>
      <c r="K28" s="340"/>
      <c r="L28" s="340"/>
      <c r="M28" s="340"/>
      <c r="N28" s="340"/>
      <c r="O28" s="340"/>
      <c r="P28" s="340"/>
      <c r="Q28" s="340"/>
      <c r="R28" s="340"/>
      <c r="S28" s="184"/>
    </row>
    <row r="29" spans="2:19" ht="15" customHeight="1">
      <c r="B29" s="12"/>
      <c r="C29" s="340"/>
      <c r="D29" s="340"/>
      <c r="E29" s="340"/>
      <c r="F29" s="340"/>
      <c r="G29" s="340"/>
      <c r="H29" s="340"/>
      <c r="I29" s="340"/>
      <c r="J29" s="340"/>
      <c r="K29" s="340"/>
      <c r="L29" s="340"/>
      <c r="M29" s="340"/>
      <c r="N29" s="340"/>
      <c r="O29" s="340"/>
      <c r="P29" s="340"/>
      <c r="Q29" s="340"/>
      <c r="R29" s="340"/>
      <c r="S29" s="184"/>
    </row>
    <row r="30" spans="2:19" ht="15" customHeight="1">
      <c r="B30" s="12"/>
      <c r="C30" s="340"/>
      <c r="D30" s="340"/>
      <c r="E30" s="340"/>
      <c r="F30" s="340"/>
      <c r="G30" s="340"/>
      <c r="H30" s="340"/>
      <c r="I30" s="340"/>
      <c r="J30" s="340"/>
      <c r="K30" s="340"/>
      <c r="L30" s="340"/>
      <c r="M30" s="340"/>
      <c r="N30" s="340"/>
      <c r="O30" s="340"/>
      <c r="P30" s="340"/>
      <c r="Q30" s="340"/>
      <c r="R30" s="340"/>
      <c r="S30" s="184"/>
    </row>
    <row r="31" spans="2:19" ht="15" customHeight="1">
      <c r="B31" s="12"/>
      <c r="C31" s="340"/>
      <c r="D31" s="340"/>
      <c r="E31" s="340"/>
      <c r="F31" s="340"/>
      <c r="G31" s="340"/>
      <c r="H31" s="340"/>
      <c r="I31" s="340"/>
      <c r="J31" s="340"/>
      <c r="K31" s="340"/>
      <c r="L31" s="340"/>
      <c r="M31" s="340"/>
      <c r="N31" s="340"/>
      <c r="O31" s="340"/>
      <c r="P31" s="340"/>
      <c r="Q31" s="340"/>
      <c r="R31" s="340"/>
      <c r="S31" s="184"/>
    </row>
    <row r="32" spans="2:19" ht="15" customHeight="1">
      <c r="B32" s="12"/>
      <c r="C32" s="340"/>
      <c r="D32" s="340"/>
      <c r="E32" s="340"/>
      <c r="F32" s="340"/>
      <c r="G32" s="340"/>
      <c r="H32" s="340"/>
      <c r="I32" s="340"/>
      <c r="J32" s="340"/>
      <c r="K32" s="340"/>
      <c r="L32" s="340"/>
      <c r="M32" s="340"/>
      <c r="N32" s="340"/>
      <c r="O32" s="340"/>
      <c r="P32" s="340"/>
      <c r="Q32" s="340"/>
      <c r="R32" s="340"/>
      <c r="S32" s="184"/>
    </row>
    <row r="33" spans="2:19" ht="15" customHeight="1">
      <c r="B33" s="12"/>
      <c r="C33" s="340"/>
      <c r="D33" s="340"/>
      <c r="E33" s="340"/>
      <c r="F33" s="340"/>
      <c r="G33" s="340"/>
      <c r="H33" s="340"/>
      <c r="I33" s="340"/>
      <c r="J33" s="340"/>
      <c r="K33" s="340"/>
      <c r="L33" s="340"/>
      <c r="M33" s="340"/>
      <c r="N33" s="340"/>
      <c r="O33" s="340"/>
      <c r="P33" s="340"/>
      <c r="Q33" s="340"/>
      <c r="R33" s="340"/>
      <c r="S33" s="184"/>
    </row>
    <row r="34" spans="2:19" ht="15" customHeight="1">
      <c r="B34" s="12"/>
      <c r="C34" s="340"/>
      <c r="D34" s="340"/>
      <c r="E34" s="340"/>
      <c r="F34" s="340"/>
      <c r="G34" s="340"/>
      <c r="H34" s="340"/>
      <c r="I34" s="340"/>
      <c r="J34" s="340"/>
      <c r="K34" s="340"/>
      <c r="L34" s="340"/>
      <c r="M34" s="340"/>
      <c r="N34" s="340"/>
      <c r="O34" s="340"/>
      <c r="P34" s="340"/>
      <c r="Q34" s="340"/>
      <c r="R34" s="340"/>
      <c r="S34" s="184"/>
    </row>
    <row r="35" spans="2:19" ht="15" customHeight="1">
      <c r="B35" s="12"/>
      <c r="C35" s="340"/>
      <c r="D35" s="340"/>
      <c r="E35" s="340"/>
      <c r="F35" s="340"/>
      <c r="G35" s="340"/>
      <c r="H35" s="340"/>
      <c r="I35" s="340"/>
      <c r="J35" s="340"/>
      <c r="K35" s="340"/>
      <c r="L35" s="340"/>
      <c r="M35" s="340"/>
      <c r="N35" s="340"/>
      <c r="O35" s="340"/>
      <c r="P35" s="340"/>
      <c r="Q35" s="340"/>
      <c r="R35" s="340"/>
      <c r="S35" s="184"/>
    </row>
    <row r="36" spans="2:19" ht="15" customHeight="1">
      <c r="B36" s="12"/>
      <c r="C36" s="340"/>
      <c r="D36" s="340"/>
      <c r="E36" s="340"/>
      <c r="F36" s="340"/>
      <c r="G36" s="340"/>
      <c r="H36" s="340"/>
      <c r="I36" s="340"/>
      <c r="J36" s="340"/>
      <c r="K36" s="340"/>
      <c r="L36" s="340"/>
      <c r="M36" s="340"/>
      <c r="N36" s="340"/>
      <c r="O36" s="340"/>
      <c r="P36" s="340"/>
      <c r="Q36" s="340"/>
      <c r="R36" s="340"/>
      <c r="S36" s="184"/>
    </row>
    <row r="37" spans="2:19" ht="15" customHeight="1">
      <c r="B37" s="12"/>
      <c r="C37" s="340"/>
      <c r="D37" s="340"/>
      <c r="E37" s="340"/>
      <c r="F37" s="340"/>
      <c r="G37" s="340"/>
      <c r="H37" s="340"/>
      <c r="I37" s="340"/>
      <c r="J37" s="340"/>
      <c r="K37" s="340"/>
      <c r="L37" s="340"/>
      <c r="M37" s="340"/>
      <c r="N37" s="340"/>
      <c r="O37" s="340"/>
      <c r="P37" s="340"/>
      <c r="Q37" s="340"/>
      <c r="R37" s="340"/>
      <c r="S37" s="184"/>
    </row>
    <row r="38" spans="2:19" ht="15" customHeight="1">
      <c r="B38" s="12"/>
      <c r="C38" s="340"/>
      <c r="D38" s="340"/>
      <c r="E38" s="340"/>
      <c r="F38" s="340"/>
      <c r="G38" s="340"/>
      <c r="H38" s="340"/>
      <c r="I38" s="340"/>
      <c r="J38" s="340"/>
      <c r="K38" s="340"/>
      <c r="L38" s="340"/>
      <c r="M38" s="340"/>
      <c r="N38" s="340"/>
      <c r="O38" s="340"/>
      <c r="P38" s="340"/>
      <c r="Q38" s="340"/>
      <c r="R38" s="340"/>
      <c r="S38" s="184"/>
    </row>
    <row r="39" spans="2:19" ht="15" customHeight="1">
      <c r="B39" s="12"/>
      <c r="C39" s="340"/>
      <c r="D39" s="340"/>
      <c r="E39" s="340"/>
      <c r="F39" s="340"/>
      <c r="G39" s="340"/>
      <c r="H39" s="340"/>
      <c r="I39" s="340"/>
      <c r="J39" s="340"/>
      <c r="K39" s="340"/>
      <c r="L39" s="340"/>
      <c r="M39" s="340"/>
      <c r="N39" s="340"/>
      <c r="O39" s="340"/>
      <c r="P39" s="340"/>
      <c r="Q39" s="340"/>
      <c r="R39" s="340"/>
      <c r="S39" s="184"/>
    </row>
    <row r="40" spans="2:19" ht="15" customHeight="1">
      <c r="B40" s="12"/>
      <c r="C40" s="340"/>
      <c r="D40" s="340"/>
      <c r="E40" s="340"/>
      <c r="F40" s="340"/>
      <c r="G40" s="340"/>
      <c r="H40" s="340"/>
      <c r="I40" s="340"/>
      <c r="J40" s="340"/>
      <c r="K40" s="340"/>
      <c r="L40" s="340"/>
      <c r="M40" s="340"/>
      <c r="N40" s="340"/>
      <c r="O40" s="340"/>
      <c r="P40" s="340"/>
      <c r="Q40" s="340"/>
      <c r="R40" s="340"/>
      <c r="S40" s="184"/>
    </row>
    <row r="41" spans="2:19" ht="15" customHeight="1">
      <c r="B41" s="12"/>
      <c r="C41" s="340"/>
      <c r="D41" s="340"/>
      <c r="E41" s="340"/>
      <c r="F41" s="340"/>
      <c r="G41" s="340"/>
      <c r="H41" s="340"/>
      <c r="I41" s="340"/>
      <c r="J41" s="340"/>
      <c r="K41" s="340"/>
      <c r="L41" s="340"/>
      <c r="M41" s="340"/>
      <c r="N41" s="340"/>
      <c r="O41" s="340"/>
      <c r="P41" s="340"/>
      <c r="Q41" s="340"/>
      <c r="R41" s="340"/>
      <c r="S41" s="184"/>
    </row>
    <row r="42" spans="2:19" ht="15" customHeight="1">
      <c r="B42" s="12"/>
      <c r="C42" s="340"/>
      <c r="D42" s="340"/>
      <c r="E42" s="340"/>
      <c r="F42" s="340"/>
      <c r="G42" s="340"/>
      <c r="H42" s="340"/>
      <c r="I42" s="340"/>
      <c r="J42" s="340"/>
      <c r="K42" s="340"/>
      <c r="L42" s="340"/>
      <c r="M42" s="340"/>
      <c r="N42" s="340"/>
      <c r="O42" s="340"/>
      <c r="P42" s="340"/>
      <c r="Q42" s="340"/>
      <c r="R42" s="340"/>
      <c r="S42" s="184"/>
    </row>
    <row r="43" spans="2:19" ht="15.75" thickBot="1">
      <c r="B43" s="12"/>
      <c r="C43" s="13"/>
      <c r="D43" s="193"/>
      <c r="E43" s="193"/>
      <c r="F43" s="193"/>
      <c r="G43" s="193"/>
      <c r="H43" s="193"/>
      <c r="Q43" s="193"/>
      <c r="R43" s="193"/>
      <c r="S43" s="184"/>
    </row>
    <row r="44" spans="2:19" ht="16.5" thickBot="1">
      <c r="B44" s="12"/>
      <c r="C44" s="13"/>
      <c r="N44" s="462" t="s">
        <v>264</v>
      </c>
      <c r="O44" s="463"/>
      <c r="P44" s="464"/>
      <c r="Q44" s="193"/>
      <c r="S44" s="184"/>
    </row>
    <row r="45" spans="2:19" ht="15" customHeight="1">
      <c r="B45" s="12"/>
      <c r="C45" s="13"/>
      <c r="D45" s="10"/>
      <c r="E45" s="10"/>
      <c r="F45" s="10"/>
      <c r="G45" s="10"/>
      <c r="H45" s="10"/>
      <c r="I45" s="10"/>
      <c r="N45" s="465" t="s">
        <v>263</v>
      </c>
      <c r="O45" s="338"/>
      <c r="P45" s="339"/>
      <c r="S45" s="184"/>
    </row>
    <row r="46" spans="2:19" ht="15.75" thickBot="1">
      <c r="B46" s="12"/>
      <c r="C46" s="13"/>
      <c r="I46" s="10"/>
      <c r="N46" s="466"/>
      <c r="O46" s="344"/>
      <c r="P46" s="345"/>
      <c r="S46" s="184"/>
    </row>
    <row r="47" spans="2:19">
      <c r="B47" s="12"/>
      <c r="C47" s="13"/>
      <c r="I47" s="10"/>
      <c r="N47" s="444" t="str">
        <f>"The investor portfolio contains a share of the ""green"" portfolio amounting to "&amp;TEXT('AC3'!CS8,"0 %")</f>
        <v>The investor portfolio contains a share of the "green" portfolio amounting to 50 %</v>
      </c>
      <c r="O47" s="446"/>
      <c r="P47" s="446"/>
      <c r="S47" s="184"/>
    </row>
    <row r="48" spans="2:19" ht="21.75" customHeight="1" thickBot="1">
      <c r="B48" s="20"/>
      <c r="C48" s="7"/>
      <c r="D48" s="7"/>
      <c r="E48" s="7"/>
      <c r="F48" s="7"/>
      <c r="G48" s="7"/>
      <c r="H48" s="7"/>
      <c r="I48" s="7"/>
      <c r="J48" s="7"/>
      <c r="K48" s="7"/>
      <c r="L48" s="186"/>
      <c r="M48" s="186"/>
      <c r="N48" s="445" t="str">
        <f>"and of the ""brown"" portfolio amounting to "&amp;TEXT('AC3'!CS9,"0 %")</f>
        <v>and of the "brown" portfolio amounting to 50 %</v>
      </c>
      <c r="O48" s="186"/>
      <c r="P48" s="186"/>
      <c r="Q48" s="186"/>
      <c r="R48" s="186"/>
      <c r="S48" s="187"/>
    </row>
    <row r="49" spans="2:11">
      <c r="B49" s="10"/>
      <c r="C49" s="10"/>
      <c r="D49" s="10"/>
      <c r="E49" s="10"/>
      <c r="F49" s="10"/>
      <c r="G49" s="10"/>
      <c r="H49" s="10"/>
      <c r="I49" s="10"/>
      <c r="J49" s="10"/>
      <c r="K49" s="10"/>
    </row>
  </sheetData>
  <sheetProtection algorithmName="SHA-512" hashValue="HLGaJV/D3a43CjJxXNQgMGFyt9cR5tYOalb8n040vdkJvvRvMlVEvVchXSTRxF9OOuztVJHjLw5BwR0IvWkM2w==" saltValue="NDbbNmOeLsWx2neJ0TM3EQ==" spinCount="100000" sheet="1" objects="1" scenarios="1"/>
  <mergeCells count="3">
    <mergeCell ref="N44:P44"/>
    <mergeCell ref="N45:N46"/>
    <mergeCell ref="F2:N4"/>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Scroll Bar 1">
              <controlPr locked="0" defaultSize="0" autoPict="0">
                <anchor moveWithCells="1">
                  <from>
                    <xdr:col>14</xdr:col>
                    <xdr:colOff>38100</xdr:colOff>
                    <xdr:row>44</xdr:row>
                    <xdr:rowOff>85725</xdr:rowOff>
                  </from>
                  <to>
                    <xdr:col>15</xdr:col>
                    <xdr:colOff>800100</xdr:colOff>
                    <xdr:row>45</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CA83E"/>
  </sheetPr>
  <dimension ref="B2:S56"/>
  <sheetViews>
    <sheetView workbookViewId="0"/>
  </sheetViews>
  <sheetFormatPr baseColWidth="10" defaultRowHeight="15"/>
  <cols>
    <col min="1" max="1" width="5.7109375" style="9" customWidth="1"/>
    <col min="2" max="2" width="11.42578125" style="9" customWidth="1"/>
    <col min="3" max="17" width="12.7109375" style="9" customWidth="1"/>
    <col min="18" max="18" width="11.42578125" style="9"/>
    <col min="19" max="19" width="13.85546875" style="9" customWidth="1"/>
    <col min="20" max="16384" width="11.42578125" style="9"/>
  </cols>
  <sheetData>
    <row r="2" spans="2:19" ht="15" customHeight="1">
      <c r="E2" s="14"/>
      <c r="F2" s="452"/>
      <c r="G2" s="452"/>
      <c r="H2" s="452"/>
      <c r="I2" s="452"/>
      <c r="J2" s="452"/>
      <c r="K2" s="452"/>
      <c r="L2" s="452"/>
      <c r="M2" s="452"/>
      <c r="N2" s="452"/>
      <c r="O2" s="14"/>
    </row>
    <row r="3" spans="2:19" ht="15" customHeight="1">
      <c r="E3" s="93"/>
      <c r="F3" s="452"/>
      <c r="G3" s="452"/>
      <c r="H3" s="452"/>
      <c r="I3" s="452"/>
      <c r="J3" s="452"/>
      <c r="K3" s="452"/>
      <c r="L3" s="452"/>
      <c r="M3" s="452"/>
      <c r="N3" s="452"/>
      <c r="O3" s="93"/>
    </row>
    <row r="4" spans="2:19" ht="15" customHeight="1">
      <c r="E4" s="14"/>
      <c r="F4" s="452"/>
      <c r="G4" s="452"/>
      <c r="H4" s="452"/>
      <c r="I4" s="452"/>
      <c r="J4" s="452"/>
      <c r="K4" s="452"/>
      <c r="L4" s="452"/>
      <c r="M4" s="452"/>
      <c r="N4" s="452"/>
      <c r="O4" s="14"/>
    </row>
    <row r="6" spans="2:19" ht="15.75" thickBot="1"/>
    <row r="7" spans="2:19" ht="19.5" thickBot="1">
      <c r="B7" s="250" t="s">
        <v>212</v>
      </c>
      <c r="C7" s="251"/>
      <c r="D7" s="251"/>
      <c r="E7" s="251"/>
      <c r="F7" s="251"/>
      <c r="G7" s="251"/>
      <c r="H7" s="251"/>
      <c r="I7" s="251"/>
      <c r="J7" s="251"/>
      <c r="K7" s="251"/>
      <c r="L7" s="251"/>
      <c r="M7" s="251"/>
      <c r="N7" s="251"/>
      <c r="O7" s="251"/>
      <c r="P7" s="251"/>
      <c r="Q7" s="251"/>
      <c r="R7" s="251"/>
      <c r="S7" s="252"/>
    </row>
    <row r="8" spans="2:19">
      <c r="B8" s="191"/>
      <c r="C8" s="190"/>
      <c r="D8" s="190"/>
      <c r="E8" s="190"/>
      <c r="F8" s="190"/>
      <c r="G8" s="190"/>
      <c r="H8" s="190"/>
      <c r="I8" s="190"/>
      <c r="J8" s="190"/>
      <c r="K8" s="190"/>
      <c r="L8" s="185"/>
      <c r="M8" s="185"/>
      <c r="N8" s="185"/>
      <c r="O8" s="185"/>
      <c r="P8" s="185"/>
      <c r="Q8" s="185"/>
      <c r="R8" s="185"/>
      <c r="S8" s="192"/>
    </row>
    <row r="9" spans="2:19">
      <c r="B9" s="31"/>
      <c r="C9" s="188"/>
      <c r="S9" s="192"/>
    </row>
    <row r="10" spans="2:19">
      <c r="B10" s="31"/>
      <c r="C10" s="330"/>
      <c r="D10" s="330"/>
      <c r="E10" s="330"/>
      <c r="F10" s="330"/>
      <c r="G10" s="330"/>
      <c r="H10" s="330"/>
      <c r="I10" s="330"/>
      <c r="R10" s="330"/>
      <c r="S10" s="192"/>
    </row>
    <row r="11" spans="2:19" ht="15" customHeight="1">
      <c r="B11" s="169"/>
      <c r="C11" s="330"/>
      <c r="D11" s="330"/>
      <c r="E11" s="330"/>
      <c r="F11" s="330"/>
      <c r="G11" s="330"/>
      <c r="H11" s="330"/>
      <c r="I11" s="330"/>
      <c r="R11" s="330"/>
      <c r="S11" s="184"/>
    </row>
    <row r="12" spans="2:19">
      <c r="B12" s="169"/>
      <c r="C12" s="330"/>
      <c r="D12" s="330"/>
      <c r="E12" s="330"/>
      <c r="F12" s="330"/>
      <c r="G12" s="330"/>
      <c r="H12" s="330"/>
      <c r="I12" s="330"/>
      <c r="J12" s="330"/>
      <c r="K12" s="330"/>
      <c r="L12" s="330"/>
      <c r="M12" s="330"/>
      <c r="N12" s="330"/>
      <c r="O12" s="330"/>
      <c r="P12" s="330"/>
      <c r="Q12" s="330"/>
      <c r="R12" s="330"/>
      <c r="S12" s="184"/>
    </row>
    <row r="13" spans="2:19">
      <c r="B13" s="169"/>
      <c r="C13" s="330"/>
      <c r="D13" s="330"/>
      <c r="E13" s="330"/>
      <c r="F13" s="330"/>
      <c r="G13" s="330"/>
      <c r="H13" s="330"/>
      <c r="I13" s="330"/>
      <c r="J13" s="330"/>
      <c r="K13" s="330"/>
      <c r="L13" s="330"/>
      <c r="M13" s="330"/>
      <c r="N13" s="330"/>
      <c r="O13" s="330"/>
      <c r="P13" s="330"/>
      <c r="Q13" s="330"/>
      <c r="R13" s="330"/>
      <c r="S13" s="184"/>
    </row>
    <row r="14" spans="2:19">
      <c r="B14" s="169"/>
      <c r="C14" s="330"/>
      <c r="D14" s="330"/>
      <c r="E14" s="330"/>
      <c r="F14" s="330"/>
      <c r="G14" s="330"/>
      <c r="H14" s="330"/>
      <c r="I14" s="330"/>
      <c r="J14" s="330"/>
      <c r="K14" s="330"/>
      <c r="L14" s="330"/>
      <c r="M14" s="330"/>
      <c r="N14" s="330"/>
      <c r="O14" s="330"/>
      <c r="P14" s="330"/>
      <c r="Q14" s="330"/>
      <c r="R14" s="330"/>
      <c r="S14" s="184"/>
    </row>
    <row r="15" spans="2:19">
      <c r="B15" s="169"/>
      <c r="C15" s="330"/>
      <c r="D15" s="330"/>
      <c r="E15" s="330"/>
      <c r="F15" s="330"/>
      <c r="G15" s="330"/>
      <c r="H15" s="330"/>
      <c r="I15" s="330"/>
      <c r="J15" s="330"/>
      <c r="K15" s="330"/>
      <c r="L15" s="330"/>
      <c r="M15" s="330"/>
      <c r="N15" s="330"/>
      <c r="O15" s="330"/>
      <c r="P15" s="330"/>
      <c r="Q15" s="330"/>
      <c r="R15" s="330"/>
      <c r="S15" s="184"/>
    </row>
    <row r="16" spans="2:19">
      <c r="B16" s="169"/>
      <c r="C16" s="330"/>
      <c r="D16" s="330"/>
      <c r="E16" s="330"/>
      <c r="F16" s="330"/>
      <c r="G16" s="330"/>
      <c r="H16" s="330"/>
      <c r="I16" s="330"/>
      <c r="J16" s="330"/>
      <c r="K16" s="330"/>
      <c r="L16" s="330"/>
      <c r="M16" s="330"/>
      <c r="N16" s="330"/>
      <c r="O16" s="330"/>
      <c r="P16" s="330"/>
      <c r="Q16" s="330"/>
      <c r="R16" s="330"/>
      <c r="S16" s="184"/>
    </row>
    <row r="17" spans="2:19">
      <c r="B17" s="169"/>
      <c r="C17" s="330"/>
      <c r="D17" s="330"/>
      <c r="E17" s="330"/>
      <c r="F17" s="330"/>
      <c r="G17" s="330"/>
      <c r="H17" s="330"/>
      <c r="I17" s="330"/>
      <c r="J17" s="330"/>
      <c r="K17" s="330"/>
      <c r="L17" s="330"/>
      <c r="M17" s="330"/>
      <c r="N17" s="330"/>
      <c r="O17" s="330"/>
      <c r="P17" s="330"/>
      <c r="Q17" s="330"/>
      <c r="R17" s="330"/>
      <c r="S17" s="184"/>
    </row>
    <row r="18" spans="2:19">
      <c r="B18" s="169"/>
      <c r="C18" s="330"/>
      <c r="D18" s="330"/>
      <c r="E18" s="330"/>
      <c r="F18" s="330"/>
      <c r="G18" s="330"/>
      <c r="H18" s="330"/>
      <c r="I18" s="330"/>
      <c r="J18" s="330"/>
      <c r="K18" s="330"/>
      <c r="L18" s="330"/>
      <c r="M18" s="330"/>
      <c r="N18" s="330"/>
      <c r="O18" s="330"/>
      <c r="P18" s="330"/>
      <c r="Q18" s="330"/>
      <c r="R18" s="330"/>
      <c r="S18" s="184"/>
    </row>
    <row r="19" spans="2:19">
      <c r="B19" s="169"/>
      <c r="C19" s="330"/>
      <c r="D19" s="330"/>
      <c r="E19" s="330"/>
      <c r="F19" s="330"/>
      <c r="G19" s="330"/>
      <c r="H19" s="330"/>
      <c r="I19" s="330"/>
      <c r="J19" s="330"/>
      <c r="K19" s="330"/>
      <c r="L19" s="330"/>
      <c r="M19" s="330"/>
      <c r="N19" s="330"/>
      <c r="O19" s="330"/>
      <c r="P19" s="330"/>
      <c r="Q19" s="330"/>
      <c r="R19" s="330"/>
      <c r="S19" s="184"/>
    </row>
    <row r="20" spans="2:19">
      <c r="B20" s="12"/>
      <c r="C20" s="330"/>
      <c r="D20" s="330"/>
      <c r="E20" s="330"/>
      <c r="F20" s="330"/>
      <c r="G20" s="330"/>
      <c r="H20" s="330"/>
      <c r="I20" s="330"/>
      <c r="J20" s="330"/>
      <c r="K20" s="330"/>
      <c r="L20" s="330"/>
      <c r="M20" s="330"/>
      <c r="N20" s="330"/>
      <c r="O20" s="330"/>
      <c r="P20" s="330"/>
      <c r="Q20" s="330"/>
      <c r="R20" s="330"/>
      <c r="S20" s="184"/>
    </row>
    <row r="21" spans="2:19">
      <c r="B21" s="12"/>
      <c r="C21" s="330"/>
      <c r="D21" s="330"/>
      <c r="E21" s="330"/>
      <c r="F21" s="330"/>
      <c r="G21" s="330"/>
      <c r="H21" s="330"/>
      <c r="I21" s="330"/>
      <c r="J21" s="330"/>
      <c r="K21" s="330"/>
      <c r="L21" s="330"/>
      <c r="M21" s="330"/>
      <c r="N21" s="330"/>
      <c r="O21" s="330"/>
      <c r="P21" s="330"/>
      <c r="Q21" s="330"/>
      <c r="R21" s="330"/>
      <c r="S21" s="184"/>
    </row>
    <row r="22" spans="2:19" ht="15" customHeight="1">
      <c r="B22" s="12"/>
      <c r="C22" s="330"/>
      <c r="D22" s="330"/>
      <c r="E22" s="330"/>
      <c r="F22" s="330"/>
      <c r="G22" s="330"/>
      <c r="H22" s="330"/>
      <c r="I22" s="330"/>
      <c r="J22" s="330"/>
      <c r="K22" s="330"/>
      <c r="L22" s="330"/>
      <c r="M22" s="330"/>
      <c r="N22" s="330"/>
      <c r="O22" s="330"/>
      <c r="P22" s="330"/>
      <c r="Q22" s="330"/>
      <c r="R22" s="330"/>
      <c r="S22" s="184"/>
    </row>
    <row r="23" spans="2:19">
      <c r="B23" s="12"/>
      <c r="C23" s="330"/>
      <c r="D23" s="330"/>
      <c r="E23" s="330"/>
      <c r="F23" s="330"/>
      <c r="G23" s="330"/>
      <c r="H23" s="330"/>
      <c r="I23" s="330"/>
      <c r="J23" s="330"/>
      <c r="K23" s="330"/>
      <c r="L23" s="330"/>
      <c r="M23" s="330"/>
      <c r="N23" s="330"/>
      <c r="O23" s="330"/>
      <c r="P23" s="330"/>
      <c r="Q23" s="330"/>
      <c r="R23" s="330"/>
      <c r="S23" s="184"/>
    </row>
    <row r="24" spans="2:19">
      <c r="B24" s="12"/>
      <c r="C24" s="330"/>
      <c r="D24" s="330"/>
      <c r="E24" s="330"/>
      <c r="F24" s="330"/>
      <c r="G24" s="330"/>
      <c r="H24" s="330"/>
      <c r="I24" s="330"/>
      <c r="J24" s="330"/>
      <c r="K24" s="330"/>
      <c r="L24" s="330"/>
      <c r="M24" s="330"/>
      <c r="N24" s="330"/>
      <c r="O24" s="330"/>
      <c r="P24" s="330"/>
      <c r="Q24" s="330"/>
      <c r="R24" s="330"/>
      <c r="S24" s="184"/>
    </row>
    <row r="25" spans="2:19">
      <c r="B25" s="12"/>
      <c r="C25" s="330"/>
      <c r="D25" s="330"/>
      <c r="E25" s="330"/>
      <c r="F25" s="330"/>
      <c r="G25" s="330"/>
      <c r="H25" s="330"/>
      <c r="I25" s="330"/>
      <c r="J25" s="330"/>
      <c r="K25" s="330"/>
      <c r="L25" s="330"/>
      <c r="M25" s="330"/>
      <c r="N25" s="330"/>
      <c r="O25" s="330"/>
      <c r="P25" s="330"/>
      <c r="Q25" s="330"/>
      <c r="R25" s="330"/>
      <c r="S25" s="184"/>
    </row>
    <row r="26" spans="2:19">
      <c r="B26" s="12"/>
      <c r="C26" s="330"/>
      <c r="D26" s="330"/>
      <c r="E26" s="330"/>
      <c r="F26" s="330"/>
      <c r="G26" s="330"/>
      <c r="H26" s="330"/>
      <c r="I26" s="330"/>
      <c r="J26" s="330"/>
      <c r="K26" s="330"/>
      <c r="L26" s="330"/>
      <c r="M26" s="330"/>
      <c r="N26" s="330"/>
      <c r="O26" s="330"/>
      <c r="P26" s="330"/>
      <c r="Q26" s="330"/>
      <c r="R26" s="330"/>
      <c r="S26" s="184"/>
    </row>
    <row r="27" spans="2:19">
      <c r="B27" s="12"/>
      <c r="C27" s="330"/>
      <c r="D27" s="330"/>
      <c r="E27" s="330"/>
      <c r="F27" s="330"/>
      <c r="G27" s="330"/>
      <c r="H27" s="330"/>
      <c r="I27" s="330"/>
      <c r="J27" s="330"/>
      <c r="K27" s="330"/>
      <c r="L27" s="330"/>
      <c r="M27" s="330"/>
      <c r="N27" s="330"/>
      <c r="O27" s="330"/>
      <c r="P27" s="330"/>
      <c r="Q27" s="330"/>
      <c r="R27" s="330"/>
      <c r="S27" s="184"/>
    </row>
    <row r="28" spans="2:19">
      <c r="B28" s="12"/>
      <c r="C28" s="330"/>
      <c r="D28" s="330"/>
      <c r="E28" s="330"/>
      <c r="F28" s="330"/>
      <c r="G28" s="330"/>
      <c r="H28" s="330"/>
      <c r="I28" s="330"/>
      <c r="J28" s="330"/>
      <c r="K28" s="330"/>
      <c r="L28" s="330"/>
      <c r="M28" s="330"/>
      <c r="N28" s="330"/>
      <c r="O28" s="330"/>
      <c r="P28" s="330"/>
      <c r="Q28" s="330"/>
      <c r="R28" s="330"/>
      <c r="S28" s="184"/>
    </row>
    <row r="29" spans="2:19">
      <c r="B29" s="12"/>
      <c r="C29" s="330"/>
      <c r="D29" s="330"/>
      <c r="E29" s="330"/>
      <c r="F29" s="330"/>
      <c r="G29" s="330"/>
      <c r="H29" s="330"/>
      <c r="I29" s="330"/>
      <c r="J29" s="330"/>
      <c r="K29" s="330"/>
      <c r="L29" s="330"/>
      <c r="M29" s="330"/>
      <c r="N29" s="330"/>
      <c r="O29" s="330"/>
      <c r="P29" s="330"/>
      <c r="Q29" s="330"/>
      <c r="R29" s="330"/>
      <c r="S29" s="184"/>
    </row>
    <row r="30" spans="2:19">
      <c r="B30" s="12"/>
      <c r="C30" s="330"/>
      <c r="D30" s="330"/>
      <c r="E30" s="330"/>
      <c r="F30" s="330"/>
      <c r="G30" s="330"/>
      <c r="H30" s="330"/>
      <c r="I30" s="330"/>
      <c r="J30" s="330"/>
      <c r="K30" s="330"/>
      <c r="L30" s="330"/>
      <c r="M30" s="330"/>
      <c r="N30" s="330"/>
      <c r="O30" s="330"/>
      <c r="P30" s="330"/>
      <c r="Q30" s="330"/>
      <c r="R30" s="330"/>
      <c r="S30" s="184"/>
    </row>
    <row r="31" spans="2:19">
      <c r="B31" s="12"/>
      <c r="C31" s="330"/>
      <c r="D31" s="330"/>
      <c r="E31" s="330"/>
      <c r="F31" s="330"/>
      <c r="G31" s="330"/>
      <c r="H31" s="330"/>
      <c r="I31" s="330"/>
      <c r="J31" s="330"/>
      <c r="K31" s="330"/>
      <c r="L31" s="330"/>
      <c r="M31" s="330"/>
      <c r="N31" s="330"/>
      <c r="O31" s="330"/>
      <c r="P31" s="330"/>
      <c r="Q31" s="330"/>
      <c r="R31" s="330"/>
      <c r="S31" s="184"/>
    </row>
    <row r="32" spans="2:19">
      <c r="B32" s="12"/>
      <c r="C32" s="330"/>
      <c r="D32" s="330"/>
      <c r="E32" s="330"/>
      <c r="F32" s="330"/>
      <c r="G32" s="330"/>
      <c r="H32" s="330"/>
      <c r="I32" s="330"/>
      <c r="J32" s="330"/>
      <c r="K32" s="330"/>
      <c r="L32" s="330"/>
      <c r="M32" s="330"/>
      <c r="N32" s="330"/>
      <c r="O32" s="330"/>
      <c r="P32" s="330"/>
      <c r="Q32" s="330"/>
      <c r="R32" s="330"/>
      <c r="S32" s="184"/>
    </row>
    <row r="33" spans="2:19">
      <c r="B33" s="12"/>
      <c r="C33" s="330"/>
      <c r="D33" s="330"/>
      <c r="E33" s="330"/>
      <c r="F33" s="330"/>
      <c r="G33" s="330"/>
      <c r="H33" s="330"/>
      <c r="I33" s="330"/>
      <c r="J33" s="330"/>
      <c r="K33" s="330"/>
      <c r="L33" s="330"/>
      <c r="M33" s="330"/>
      <c r="N33" s="330"/>
      <c r="O33" s="330"/>
      <c r="P33" s="330"/>
      <c r="Q33" s="330"/>
      <c r="R33" s="330"/>
      <c r="S33" s="184"/>
    </row>
    <row r="34" spans="2:19">
      <c r="B34" s="12"/>
      <c r="C34" s="330"/>
      <c r="D34" s="330"/>
      <c r="E34" s="330"/>
      <c r="F34" s="330"/>
      <c r="G34" s="330"/>
      <c r="H34" s="330"/>
      <c r="I34" s="330"/>
      <c r="J34" s="330"/>
      <c r="K34" s="330"/>
      <c r="L34" s="330"/>
      <c r="M34" s="330"/>
      <c r="N34" s="330"/>
      <c r="O34" s="330"/>
      <c r="P34" s="330"/>
      <c r="Q34" s="330"/>
      <c r="R34" s="330"/>
      <c r="S34" s="184"/>
    </row>
    <row r="35" spans="2:19">
      <c r="B35" s="12"/>
      <c r="C35" s="330"/>
      <c r="D35" s="330"/>
      <c r="E35" s="330"/>
      <c r="F35" s="330"/>
      <c r="G35" s="330"/>
      <c r="H35" s="330"/>
      <c r="I35" s="330"/>
      <c r="J35" s="330"/>
      <c r="K35" s="330"/>
      <c r="L35" s="330"/>
      <c r="M35" s="330"/>
      <c r="N35" s="330"/>
      <c r="O35" s="330"/>
      <c r="P35" s="330"/>
      <c r="Q35" s="330"/>
      <c r="R35" s="330"/>
      <c r="S35" s="184"/>
    </row>
    <row r="36" spans="2:19">
      <c r="B36" s="12"/>
      <c r="C36" s="330"/>
      <c r="D36" s="330"/>
      <c r="E36" s="330"/>
      <c r="F36" s="330"/>
      <c r="G36" s="330"/>
      <c r="H36" s="330"/>
      <c r="I36" s="330"/>
      <c r="J36" s="330"/>
      <c r="K36" s="330"/>
      <c r="L36" s="330"/>
      <c r="M36" s="330"/>
      <c r="N36" s="330"/>
      <c r="O36" s="330"/>
      <c r="P36" s="330"/>
      <c r="Q36" s="330"/>
      <c r="R36" s="330"/>
      <c r="S36" s="184"/>
    </row>
    <row r="37" spans="2:19">
      <c r="B37" s="12"/>
      <c r="C37" s="330"/>
      <c r="D37" s="330"/>
      <c r="E37" s="330"/>
      <c r="F37" s="330"/>
      <c r="G37" s="330"/>
      <c r="H37" s="330"/>
      <c r="I37" s="330"/>
      <c r="J37" s="330"/>
      <c r="K37" s="330"/>
      <c r="L37" s="330"/>
      <c r="M37" s="330"/>
      <c r="N37" s="330"/>
      <c r="O37" s="330"/>
      <c r="P37" s="330"/>
      <c r="Q37" s="330"/>
      <c r="R37" s="330"/>
      <c r="S37" s="184"/>
    </row>
    <row r="38" spans="2:19">
      <c r="B38" s="12"/>
      <c r="C38" s="330"/>
      <c r="D38" s="330"/>
      <c r="E38" s="330"/>
      <c r="F38" s="330"/>
      <c r="G38" s="330"/>
      <c r="H38" s="330"/>
      <c r="I38" s="330"/>
      <c r="J38" s="330"/>
      <c r="K38" s="330"/>
      <c r="L38" s="330"/>
      <c r="M38" s="330"/>
      <c r="N38" s="330"/>
      <c r="O38" s="330"/>
      <c r="P38" s="330"/>
      <c r="Q38" s="330"/>
      <c r="R38" s="330"/>
      <c r="S38" s="184"/>
    </row>
    <row r="39" spans="2:19">
      <c r="B39" s="12"/>
      <c r="C39" s="330"/>
      <c r="D39" s="330"/>
      <c r="E39" s="330"/>
      <c r="F39" s="330"/>
      <c r="G39" s="330"/>
      <c r="H39" s="330"/>
      <c r="I39" s="330"/>
      <c r="J39" s="330"/>
      <c r="K39" s="330"/>
      <c r="L39" s="330"/>
      <c r="M39" s="330"/>
      <c r="N39" s="330"/>
      <c r="O39" s="330"/>
      <c r="P39" s="330"/>
      <c r="Q39" s="330"/>
      <c r="R39" s="330"/>
      <c r="S39" s="184"/>
    </row>
    <row r="40" spans="2:19">
      <c r="B40" s="12"/>
      <c r="C40" s="330"/>
      <c r="D40" s="330"/>
      <c r="E40" s="330"/>
      <c r="F40" s="330"/>
      <c r="G40" s="330"/>
      <c r="H40" s="330"/>
      <c r="I40" s="330"/>
      <c r="J40" s="330"/>
      <c r="K40" s="330"/>
      <c r="L40" s="330"/>
      <c r="M40" s="330"/>
      <c r="N40" s="330"/>
      <c r="O40" s="330"/>
      <c r="P40" s="330"/>
      <c r="Q40" s="330"/>
      <c r="R40" s="330"/>
      <c r="S40" s="184"/>
    </row>
    <row r="41" spans="2:19">
      <c r="B41" s="12"/>
      <c r="C41" s="13"/>
      <c r="D41" s="193"/>
      <c r="E41" s="193"/>
      <c r="F41" s="193"/>
      <c r="G41" s="193"/>
      <c r="H41" s="193"/>
      <c r="I41" s="193"/>
      <c r="S41" s="184"/>
    </row>
    <row r="42" spans="2:19">
      <c r="B42" s="12"/>
      <c r="C42" s="13"/>
      <c r="D42" s="193"/>
      <c r="E42" s="193"/>
      <c r="F42" s="193"/>
      <c r="G42" s="193"/>
      <c r="H42" s="193"/>
      <c r="I42" s="193"/>
      <c r="Q42" s="193"/>
      <c r="R42" s="193"/>
      <c r="S42" s="184"/>
    </row>
    <row r="43" spans="2:19" ht="15.75" thickBot="1">
      <c r="B43" s="12"/>
      <c r="C43" s="13"/>
      <c r="D43" s="193"/>
      <c r="E43" s="193"/>
      <c r="F43" s="193"/>
      <c r="G43" s="193"/>
      <c r="H43" s="193"/>
      <c r="Q43" s="193"/>
      <c r="R43" s="193"/>
      <c r="S43" s="184"/>
    </row>
    <row r="44" spans="2:19" ht="16.5" thickBot="1">
      <c r="B44" s="12"/>
      <c r="C44" s="13"/>
      <c r="J44" s="462" t="s">
        <v>162</v>
      </c>
      <c r="K44" s="463"/>
      <c r="L44" s="464"/>
      <c r="M44" s="193"/>
      <c r="N44" s="462" t="s">
        <v>163</v>
      </c>
      <c r="O44" s="463"/>
      <c r="P44" s="464"/>
      <c r="R44" s="193"/>
      <c r="S44" s="184"/>
    </row>
    <row r="45" spans="2:19">
      <c r="B45" s="12"/>
      <c r="C45" s="13"/>
      <c r="D45" s="10"/>
      <c r="E45" s="10"/>
      <c r="F45" s="10"/>
      <c r="G45" s="10"/>
      <c r="H45" s="10"/>
      <c r="I45" s="10"/>
      <c r="J45" s="465" t="s">
        <v>245</v>
      </c>
      <c r="K45" s="338"/>
      <c r="L45" s="439">
        <v>50</v>
      </c>
      <c r="N45" s="465" t="s">
        <v>246</v>
      </c>
      <c r="O45" s="338"/>
      <c r="P45" s="439">
        <v>54</v>
      </c>
      <c r="R45" s="193"/>
      <c r="S45" s="184"/>
    </row>
    <row r="46" spans="2:19">
      <c r="B46" s="12"/>
      <c r="C46" s="13"/>
      <c r="I46" s="10"/>
      <c r="J46" s="467"/>
      <c r="K46" s="336"/>
      <c r="L46" s="337"/>
      <c r="N46" s="467"/>
      <c r="O46" s="336"/>
      <c r="P46" s="337"/>
      <c r="R46" s="193"/>
      <c r="S46" s="184"/>
    </row>
    <row r="47" spans="2:19" ht="26.25" customHeight="1" thickBot="1">
      <c r="B47" s="12"/>
      <c r="C47" s="13"/>
      <c r="I47" s="10"/>
      <c r="J47" s="466"/>
      <c r="K47" s="468">
        <f>ROUND(L45/100,1)</f>
        <v>0.5</v>
      </c>
      <c r="L47" s="469"/>
      <c r="N47" s="466"/>
      <c r="O47" s="468">
        <f>ROUND(P45/100,1)</f>
        <v>0.5</v>
      </c>
      <c r="P47" s="469"/>
      <c r="R47" s="193"/>
      <c r="S47" s="184"/>
    </row>
    <row r="48" spans="2:19" ht="21.75" customHeight="1" thickBot="1">
      <c r="B48" s="20"/>
      <c r="C48" s="7"/>
      <c r="D48" s="7"/>
      <c r="E48" s="7"/>
      <c r="F48" s="7"/>
      <c r="G48" s="7"/>
      <c r="H48" s="7"/>
      <c r="I48" s="7"/>
      <c r="J48" s="7"/>
      <c r="K48" s="7"/>
      <c r="L48" s="186"/>
      <c r="M48" s="186"/>
      <c r="N48" s="186"/>
      <c r="O48" s="186"/>
      <c r="P48" s="186"/>
      <c r="Q48" s="186"/>
      <c r="R48" s="186"/>
      <c r="S48" s="187"/>
    </row>
    <row r="49" spans="2:18">
      <c r="B49" s="10"/>
      <c r="C49" s="10"/>
    </row>
    <row r="54" spans="2:18">
      <c r="N54" s="189"/>
      <c r="O54" s="189"/>
    </row>
    <row r="55" spans="2:18">
      <c r="N55" s="330"/>
      <c r="O55" s="330"/>
    </row>
    <row r="56" spans="2:18">
      <c r="K56" s="330"/>
      <c r="L56" s="330"/>
      <c r="M56" s="330"/>
      <c r="N56" s="330"/>
      <c r="O56" s="330"/>
      <c r="P56" s="330"/>
      <c r="Q56" s="330"/>
      <c r="R56" s="330"/>
    </row>
  </sheetData>
  <sheetProtection algorithmName="SHA-512" hashValue="+ml0sT24EbF5qkvRxEOY3UXBFTIGuqYko3hEinNaKkKnasUBlmNxaaO5lj9Qmt5oNoRhSZiWwPIa7sY+C22+wA==" saltValue="2sNF8b9oOOsLOkO9A/u3cA==" spinCount="100000" sheet="1" objects="1" scenarios="1"/>
  <mergeCells count="7">
    <mergeCell ref="F2:N4"/>
    <mergeCell ref="J45:J47"/>
    <mergeCell ref="J44:L44"/>
    <mergeCell ref="K47:L47"/>
    <mergeCell ref="N44:P44"/>
    <mergeCell ref="N45:N47"/>
    <mergeCell ref="O47:P47"/>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1" r:id="rId4" name="Scroll Bar 5">
              <controlPr defaultSize="0" autoPict="0">
                <anchor moveWithCells="1">
                  <from>
                    <xdr:col>10</xdr:col>
                    <xdr:colOff>38100</xdr:colOff>
                    <xdr:row>44</xdr:row>
                    <xdr:rowOff>85725</xdr:rowOff>
                  </from>
                  <to>
                    <xdr:col>11</xdr:col>
                    <xdr:colOff>800100</xdr:colOff>
                    <xdr:row>45</xdr:row>
                    <xdr:rowOff>114300</xdr:rowOff>
                  </to>
                </anchor>
              </controlPr>
            </control>
          </mc:Choice>
        </mc:AlternateContent>
        <mc:AlternateContent xmlns:mc="http://schemas.openxmlformats.org/markup-compatibility/2006">
          <mc:Choice Requires="x14">
            <control shapeId="14344" r:id="rId5" name="Scroll Bar 8">
              <controlPr defaultSize="0" autoPict="0">
                <anchor moveWithCells="1">
                  <from>
                    <xdr:col>14</xdr:col>
                    <xdr:colOff>38100</xdr:colOff>
                    <xdr:row>44</xdr:row>
                    <xdr:rowOff>76200</xdr:rowOff>
                  </from>
                  <to>
                    <xdr:col>15</xdr:col>
                    <xdr:colOff>800100</xdr:colOff>
                    <xdr:row>45</xdr:row>
                    <xdr:rowOff>104775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E838C"/>
  </sheetPr>
  <dimension ref="A1"/>
  <sheetViews>
    <sheetView workbookViewId="0"/>
  </sheetViews>
  <sheetFormatPr baseColWidth="10" defaultRowHeight="15"/>
  <cols>
    <col min="1" max="16384" width="11.42578125" style="9"/>
  </cols>
  <sheetData/>
  <sheetProtection algorithmName="SHA-512" hashValue="17gRZkmYH4wfS+TD644nWcWDrmxEVs7Fz6LKCol+V/YT28SVh0rxc6uHPBmCHuQlobI1uVMZjXAkrwhKn1e+8w==" saltValue="rfMRfzKdnemr3KpmoHDUGA==" spinCount="100000" sheet="1" objects="1" scenarios="1"/>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49"/>
  <sheetViews>
    <sheetView workbookViewId="0">
      <selection activeCell="I10" sqref="I10"/>
    </sheetView>
  </sheetViews>
  <sheetFormatPr baseColWidth="10" defaultRowHeight="15"/>
  <cols>
    <col min="1" max="1" width="5.7109375" style="9" customWidth="1"/>
    <col min="2" max="4" width="15.7109375" style="9" customWidth="1"/>
    <col min="5" max="5" width="11.42578125" style="9" customWidth="1"/>
    <col min="6" max="6" width="19.85546875" style="9" bestFit="1" customWidth="1"/>
    <col min="7" max="7" width="15.7109375" style="9" customWidth="1"/>
    <col min="8" max="11" width="11.42578125" style="9"/>
    <col min="12" max="12" width="16.85546875" style="9" bestFit="1" customWidth="1"/>
    <col min="13" max="13" width="11.42578125" style="9" customWidth="1"/>
    <col min="14" max="18" width="11.42578125" style="9"/>
    <col min="19" max="19" width="5.7109375" style="9" customWidth="1"/>
    <col min="20" max="16384" width="11.42578125" style="9"/>
  </cols>
  <sheetData>
    <row r="2" spans="2:19">
      <c r="E2" s="14"/>
      <c r="F2" s="452"/>
      <c r="G2" s="452"/>
      <c r="H2" s="452"/>
      <c r="I2" s="452"/>
      <c r="J2" s="452"/>
      <c r="K2" s="452"/>
      <c r="L2" s="452"/>
      <c r="M2" s="452"/>
      <c r="N2" s="452"/>
      <c r="O2" s="14"/>
    </row>
    <row r="3" spans="2:19">
      <c r="E3" s="93"/>
      <c r="F3" s="452"/>
      <c r="G3" s="452"/>
      <c r="H3" s="452"/>
      <c r="I3" s="452"/>
      <c r="J3" s="452"/>
      <c r="K3" s="452"/>
      <c r="L3" s="452"/>
      <c r="M3" s="452"/>
      <c r="N3" s="452"/>
      <c r="O3" s="93"/>
    </row>
    <row r="4" spans="2:19">
      <c r="E4" s="14"/>
      <c r="F4" s="452"/>
      <c r="G4" s="452"/>
      <c r="H4" s="452"/>
      <c r="I4" s="452"/>
      <c r="J4" s="452"/>
      <c r="K4" s="452"/>
      <c r="L4" s="452"/>
      <c r="M4" s="452"/>
      <c r="N4" s="452"/>
      <c r="O4" s="14"/>
    </row>
    <row r="5" spans="2:19">
      <c r="E5" s="14"/>
      <c r="F5" s="14"/>
      <c r="G5" s="14"/>
      <c r="H5" s="14"/>
      <c r="I5" s="14"/>
      <c r="J5" s="14"/>
      <c r="K5" s="14"/>
      <c r="L5" s="14"/>
      <c r="M5" s="14"/>
      <c r="N5" s="14"/>
      <c r="O5" s="14"/>
    </row>
    <row r="6" spans="2:19" ht="15.75" thickBot="1"/>
    <row r="7" spans="2:19" ht="19.5" thickBot="1">
      <c r="B7" s="250" t="s">
        <v>212</v>
      </c>
      <c r="C7" s="251"/>
      <c r="D7" s="251"/>
      <c r="E7" s="251"/>
      <c r="F7" s="251"/>
      <c r="G7" s="251"/>
      <c r="H7" s="251"/>
      <c r="I7" s="251"/>
      <c r="J7" s="251"/>
      <c r="K7" s="251"/>
      <c r="L7" s="251"/>
      <c r="M7" s="251"/>
      <c r="N7" s="251"/>
      <c r="O7" s="251"/>
      <c r="P7" s="251"/>
      <c r="Q7" s="251"/>
      <c r="R7" s="251"/>
      <c r="S7" s="252"/>
    </row>
    <row r="8" spans="2:19" ht="15.75" thickBot="1">
      <c r="B8" s="12"/>
      <c r="C8" s="13"/>
      <c r="D8" s="13"/>
      <c r="E8" s="13"/>
      <c r="F8" s="13"/>
      <c r="G8" s="13"/>
      <c r="H8" s="13"/>
      <c r="I8" s="13"/>
      <c r="J8" s="13"/>
      <c r="K8" s="13"/>
      <c r="L8" s="14"/>
      <c r="M8" s="14"/>
      <c r="N8" s="14"/>
      <c r="O8" s="14"/>
      <c r="P8" s="14"/>
      <c r="Q8" s="14"/>
      <c r="R8" s="14"/>
      <c r="S8" s="15"/>
    </row>
    <row r="9" spans="2:19" ht="15.75" thickBot="1">
      <c r="B9" s="16"/>
      <c r="C9" s="473" t="s">
        <v>4</v>
      </c>
      <c r="D9" s="474"/>
      <c r="E9" s="14"/>
      <c r="F9" s="470" t="s">
        <v>204</v>
      </c>
      <c r="G9" s="471"/>
      <c r="H9" s="472"/>
      <c r="I9" s="14"/>
      <c r="J9" s="14"/>
      <c r="K9" s="14"/>
      <c r="L9" s="449" t="s">
        <v>208</v>
      </c>
      <c r="M9" s="450"/>
      <c r="N9" s="450"/>
      <c r="O9" s="450"/>
      <c r="P9" s="450"/>
      <c r="Q9" s="451"/>
      <c r="R9" s="110"/>
      <c r="S9" s="15"/>
    </row>
    <row r="10" spans="2:19" ht="15.75" thickBot="1">
      <c r="B10" s="16"/>
      <c r="C10" s="27" t="s">
        <v>199</v>
      </c>
      <c r="D10" s="440" t="s">
        <v>3</v>
      </c>
      <c r="E10" s="14"/>
      <c r="F10" s="30" t="s">
        <v>223</v>
      </c>
      <c r="G10" s="319" t="s">
        <v>298</v>
      </c>
      <c r="H10" s="103"/>
      <c r="I10" s="14"/>
      <c r="J10" s="14"/>
      <c r="K10" s="14"/>
      <c r="L10" s="59" t="s">
        <v>207</v>
      </c>
      <c r="M10" s="60" t="s">
        <v>4</v>
      </c>
      <c r="N10" s="60" t="s">
        <v>157</v>
      </c>
      <c r="O10" s="60" t="s">
        <v>5</v>
      </c>
      <c r="P10" s="60" t="s">
        <v>6</v>
      </c>
      <c r="Q10" s="61" t="s">
        <v>7</v>
      </c>
      <c r="R10" s="95"/>
      <c r="S10" s="15"/>
    </row>
    <row r="11" spans="2:19" ht="15.75" thickBot="1">
      <c r="B11" s="16"/>
      <c r="C11" s="28" t="s">
        <v>200</v>
      </c>
      <c r="D11" s="441" t="s">
        <v>221</v>
      </c>
      <c r="E11" s="14"/>
      <c r="F11" s="31" t="s">
        <v>224</v>
      </c>
      <c r="G11" s="320" t="s">
        <v>298</v>
      </c>
      <c r="H11" s="104"/>
      <c r="I11" s="14"/>
      <c r="J11" s="14"/>
      <c r="K11" s="14"/>
      <c r="L11" s="65" t="s">
        <v>213</v>
      </c>
      <c r="M11" s="66">
        <f>AVERAGE(BMG!F2:F109)</f>
        <v>-1.9580675925925935E-3</v>
      </c>
      <c r="N11" s="66">
        <f>AVERAGE('Risk Factors'!F2:F109)</f>
        <v>6.872222222222224E-3</v>
      </c>
      <c r="O11" s="66">
        <f>AVERAGE('Risk Factors'!G2:G109)</f>
        <v>8.3333333333334913E-6</v>
      </c>
      <c r="P11" s="66">
        <f>AVERAGE('Risk Factors'!H2:H109)</f>
        <v>-1.3861111111111114E-3</v>
      </c>
      <c r="Q11" s="67">
        <f>AVERAGE('Risk Factors'!I2:I109)</f>
        <v>5.7305555555555521E-3</v>
      </c>
      <c r="R11" s="111"/>
      <c r="S11" s="15"/>
    </row>
    <row r="12" spans="2:19" ht="15.75" thickBot="1">
      <c r="B12" s="16"/>
      <c r="C12" s="28" t="s">
        <v>201</v>
      </c>
      <c r="D12" s="438">
        <v>40179</v>
      </c>
      <c r="E12" s="14"/>
      <c r="F12" s="31" t="s">
        <v>225</v>
      </c>
      <c r="G12" s="320" t="s">
        <v>298</v>
      </c>
      <c r="H12" s="104"/>
      <c r="I12" s="14"/>
      <c r="J12" s="14"/>
      <c r="K12" s="14"/>
      <c r="L12" s="39" t="s">
        <v>17</v>
      </c>
      <c r="M12" s="40">
        <f>MEDIAN(BMG!F2:F1098)</f>
        <v>-1.8985500000000002E-3</v>
      </c>
      <c r="N12" s="40">
        <f>MEDIAN('Risk Factors'!F2:F109)</f>
        <v>8.8500000000000002E-3</v>
      </c>
      <c r="O12" s="40">
        <f>MEDIAN('Risk Factors'!G2:G109)</f>
        <v>-1.5999999999999999E-3</v>
      </c>
      <c r="P12" s="40">
        <f>MEDIAN('Risk Factors'!H2:H109)</f>
        <v>-1.8999999999999998E-3</v>
      </c>
      <c r="Q12" s="41">
        <f>MEDIAN('Risk Factors'!I2:I109)</f>
        <v>5.7999999999999996E-3</v>
      </c>
      <c r="R12" s="112"/>
      <c r="S12" s="15"/>
    </row>
    <row r="13" spans="2:19" ht="15.75" thickBot="1">
      <c r="B13" s="16"/>
      <c r="C13" s="28" t="s">
        <v>202</v>
      </c>
      <c r="D13" s="438">
        <v>43465</v>
      </c>
      <c r="E13" s="14"/>
      <c r="F13" s="31" t="s">
        <v>226</v>
      </c>
      <c r="G13" s="320" t="s">
        <v>298</v>
      </c>
      <c r="H13" s="104"/>
      <c r="I13" s="14"/>
      <c r="J13" s="14"/>
      <c r="K13" s="14"/>
      <c r="L13" s="36" t="s">
        <v>8</v>
      </c>
      <c r="M13" s="37">
        <f>MIN(BMG!F2:F109)</f>
        <v>-5.2712000000000002E-2</v>
      </c>
      <c r="N13" s="37">
        <f>MIN('Risk Factors'!F2:F109)</f>
        <v>-9.5299999999999996E-2</v>
      </c>
      <c r="O13" s="37">
        <f>MIN('Risk Factors'!G2:G109)</f>
        <v>-3.0700000000000002E-2</v>
      </c>
      <c r="P13" s="37">
        <f>MIN('Risk Factors'!H2:H109)</f>
        <v>-4.4499999999999998E-2</v>
      </c>
      <c r="Q13" s="38">
        <f>MIN('Risk Factors'!I2:I109)</f>
        <v>-6.7799999999999999E-2</v>
      </c>
      <c r="R13" s="111"/>
      <c r="S13" s="15"/>
    </row>
    <row r="14" spans="2:19" ht="15.75" thickBot="1">
      <c r="B14" s="16"/>
      <c r="C14" s="29" t="s">
        <v>203</v>
      </c>
      <c r="D14" s="442">
        <v>108</v>
      </c>
      <c r="E14" s="14"/>
      <c r="F14" s="31" t="s">
        <v>227</v>
      </c>
      <c r="G14" s="320" t="s">
        <v>298</v>
      </c>
      <c r="H14" s="322">
        <v>0.05</v>
      </c>
      <c r="I14" s="14"/>
      <c r="J14" s="14"/>
      <c r="K14" s="14"/>
      <c r="L14" s="39" t="s">
        <v>9</v>
      </c>
      <c r="M14" s="40">
        <f>MAX(BMG!F2:F109)</f>
        <v>4.2214500000000002E-2</v>
      </c>
      <c r="N14" s="40">
        <f>MAX('Risk Factors'!F2:F109)</f>
        <v>0.1002</v>
      </c>
      <c r="O14" s="40">
        <f>MAX('Risk Factors'!G2:G109)</f>
        <v>3.9E-2</v>
      </c>
      <c r="P14" s="40">
        <f>MAX('Risk Factors'!H2:H109)</f>
        <v>4.3200000000000002E-2</v>
      </c>
      <c r="Q14" s="41">
        <f>MAX('Risk Factors'!I2:I109)</f>
        <v>6.2600000000000003E-2</v>
      </c>
      <c r="R14" s="112"/>
      <c r="S14" s="15"/>
    </row>
    <row r="15" spans="2:19" ht="15.75" thickBot="1">
      <c r="B15" s="16"/>
      <c r="C15" s="17"/>
      <c r="D15" s="17"/>
      <c r="E15" s="14"/>
      <c r="F15" s="32" t="s">
        <v>227</v>
      </c>
      <c r="G15" s="321" t="s">
        <v>298</v>
      </c>
      <c r="H15" s="323">
        <v>0.95</v>
      </c>
      <c r="I15" s="14"/>
      <c r="J15" s="14"/>
      <c r="K15" s="14"/>
      <c r="L15" s="36" t="s">
        <v>214</v>
      </c>
      <c r="M15" s="37">
        <f>_xlfn.STDEV.S(BMG!F2:F109)</f>
        <v>1.8503381433091427E-2</v>
      </c>
      <c r="N15" s="37">
        <f>_xlfn.STDEV.S('Risk Factors'!F2:F109)</f>
        <v>3.8204239216100035E-2</v>
      </c>
      <c r="O15" s="37">
        <f>_xlfn.STDEV.S('Risk Factors'!G2:G109)</f>
        <v>1.3434187974792377E-2</v>
      </c>
      <c r="P15" s="37">
        <f>_xlfn.STDEV.S('Risk Factors'!H2:H109)</f>
        <v>1.7092237175135683E-2</v>
      </c>
      <c r="Q15" s="38">
        <f>_xlfn.STDEV.S('Risk Factors'!I2:I109)</f>
        <v>2.3789844917186841E-2</v>
      </c>
      <c r="R15" s="111"/>
      <c r="S15" s="15"/>
    </row>
    <row r="16" spans="2:19" ht="15.75" thickBot="1">
      <c r="B16" s="16"/>
      <c r="C16" s="11"/>
      <c r="D16" s="11"/>
      <c r="E16" s="14"/>
      <c r="F16" s="94" t="s">
        <v>292</v>
      </c>
      <c r="G16" s="22"/>
      <c r="H16" s="13"/>
      <c r="I16" s="14"/>
      <c r="J16" s="14"/>
      <c r="K16" s="14"/>
      <c r="L16" s="39" t="s">
        <v>16</v>
      </c>
      <c r="M16" s="362">
        <f>M11/M15</f>
        <v>-0.10582214930135891</v>
      </c>
      <c r="N16" s="362">
        <f>N11/N15</f>
        <v>0.17988114312000569</v>
      </c>
      <c r="O16" s="362">
        <f>O11/O15</f>
        <v>6.2030792995974003E-4</v>
      </c>
      <c r="P16" s="362">
        <f>P11/P15</f>
        <v>-8.1095944135827144E-2</v>
      </c>
      <c r="Q16" s="295">
        <f>Q11/Q15</f>
        <v>0.24088242590499379</v>
      </c>
      <c r="R16" s="112"/>
      <c r="S16" s="15"/>
    </row>
    <row r="17" spans="2:19" ht="15.75" thickBot="1">
      <c r="B17" s="16"/>
      <c r="C17" s="11"/>
      <c r="D17" s="11"/>
      <c r="E17" s="14"/>
      <c r="F17" s="23"/>
      <c r="G17" s="11"/>
      <c r="H17" s="13"/>
      <c r="I17" s="14"/>
      <c r="J17" s="14"/>
      <c r="K17" s="14"/>
      <c r="L17" s="36" t="s">
        <v>215</v>
      </c>
      <c r="M17" s="37">
        <f>_xlfn.PERCENTILE.INC(BMG!F2:F109,0.05)</f>
        <v>-2.8923045000000001E-2</v>
      </c>
      <c r="N17" s="37">
        <f>_xlfn.PERCENTILE.INC('Risk Factors'!F2:F109,0.05)</f>
        <v>-7.0899999999999991E-2</v>
      </c>
      <c r="O17" s="37">
        <f>_xlfn.PERCENTILE.INC('Risk Factors'!G2:G109,0.05)</f>
        <v>-2.2429999999999999E-2</v>
      </c>
      <c r="P17" s="37">
        <f>_xlfn.PERCENTILE.INC('Risk Factors'!H2:H109,0.05)</f>
        <v>-2.5930000000000002E-2</v>
      </c>
      <c r="Q17" s="38">
        <f>_xlfn.PERCENTILE.INC('Risk Factors'!I2:I109,0.05)</f>
        <v>-3.0929999999999996E-2</v>
      </c>
      <c r="R17" s="111"/>
      <c r="S17" s="15"/>
    </row>
    <row r="18" spans="2:19" ht="15.75" thickBot="1">
      <c r="B18" s="18"/>
      <c r="C18" s="19"/>
      <c r="D18" s="13"/>
      <c r="E18" s="13"/>
      <c r="F18" s="13"/>
      <c r="G18" s="13"/>
      <c r="H18" s="13"/>
      <c r="I18" s="13"/>
      <c r="J18" s="19"/>
      <c r="K18" s="13"/>
      <c r="L18" s="39" t="s">
        <v>216</v>
      </c>
      <c r="M18" s="40">
        <f>_xlfn.PERCENTILE.INC(BMG!F2:F109,0.1)</f>
        <v>-2.339749E-2</v>
      </c>
      <c r="N18" s="40">
        <f>_xlfn.PERCENTILE.INC('Risk Factors'!F2:F109,0.1)</f>
        <v>-3.7839999999999999E-2</v>
      </c>
      <c r="O18" s="40">
        <f>_xlfn.PERCENTILE.INC('Risk Factors'!G2:G109,0.1)</f>
        <v>-1.6050000000000002E-2</v>
      </c>
      <c r="P18" s="40">
        <f>_xlfn.PERCENTILE.INC('Risk Factors'!H2:H109,0.1)</f>
        <v>-2.019E-2</v>
      </c>
      <c r="Q18" s="41">
        <f>_xlfn.PERCENTILE.INC('Risk Factors'!I2:I109,0.1)</f>
        <v>-2.513E-2</v>
      </c>
      <c r="R18" s="112"/>
      <c r="S18" s="15"/>
    </row>
    <row r="19" spans="2:19" ht="15.75" thickBot="1">
      <c r="B19" s="18"/>
      <c r="C19" s="19"/>
      <c r="D19" s="13"/>
      <c r="E19" s="13"/>
      <c r="F19" s="13"/>
      <c r="G19" s="13"/>
      <c r="H19" s="13"/>
      <c r="I19" s="13"/>
      <c r="J19" s="19"/>
      <c r="K19" s="13"/>
      <c r="L19" s="36" t="s">
        <v>217</v>
      </c>
      <c r="M19" s="37">
        <f>_xlfn.PERCENTILE.INC(BMG!F2:F109,0.9)</f>
        <v>2.1294839999999995E-2</v>
      </c>
      <c r="N19" s="37">
        <f>_xlfn.PERCENTILE.INC('Risk Factors'!F2:F109,0.9)</f>
        <v>5.4649999999999997E-2</v>
      </c>
      <c r="O19" s="37">
        <f>_xlfn.PERCENTILE.INC('Risk Factors'!G2:G109,0.9)</f>
        <v>1.8029999999999997E-2</v>
      </c>
      <c r="P19" s="37">
        <f>_xlfn.PERCENTILE.INC('Risk Factors'!H2:H109,0.9)</f>
        <v>2.1589999999999998E-2</v>
      </c>
      <c r="Q19" s="38">
        <f>_xlfn.PERCENTILE.INC('Risk Factors'!I2:I109,0.9)</f>
        <v>3.5349999999999999E-2</v>
      </c>
      <c r="R19" s="111"/>
      <c r="S19" s="15"/>
    </row>
    <row r="20" spans="2:19" ht="15.75" thickBot="1">
      <c r="B20" s="12"/>
      <c r="C20" s="13"/>
      <c r="D20" s="13"/>
      <c r="E20" s="13"/>
      <c r="F20" s="13"/>
      <c r="G20" s="13"/>
      <c r="H20" s="13"/>
      <c r="I20" s="13"/>
      <c r="J20" s="13"/>
      <c r="K20" s="13"/>
      <c r="L20" s="39" t="s">
        <v>218</v>
      </c>
      <c r="M20" s="40">
        <f>_xlfn.PERCENTILE.INC(BMG!F2:F109,0.95)</f>
        <v>2.902832E-2</v>
      </c>
      <c r="N20" s="40">
        <f>_xlfn.PERCENTILE.INC('Risk Factors'!F2:F109,0.95)</f>
        <v>6.6859999999999947E-2</v>
      </c>
      <c r="O20" s="40">
        <f>_xlfn.PERCENTILE.INC('Risk Factors'!G2:G109,0.95)</f>
        <v>2.0965000000000001E-2</v>
      </c>
      <c r="P20" s="40">
        <f>_xlfn.PERCENTILE.INC('Risk Factors'!H2:H109,0.95)</f>
        <v>2.7329999999999997E-2</v>
      </c>
      <c r="Q20" s="41">
        <f>_xlfn.PERCENTILE.INC('Risk Factors'!I2:I109,0.95)</f>
        <v>4.2059999999999993E-2</v>
      </c>
      <c r="R20" s="112"/>
      <c r="S20" s="15"/>
    </row>
    <row r="21" spans="2:19" ht="15.75" thickBot="1">
      <c r="B21" s="12"/>
      <c r="C21" s="13"/>
      <c r="D21" s="13"/>
      <c r="E21" s="13"/>
      <c r="F21" s="13"/>
      <c r="G21" s="13"/>
      <c r="H21" s="13"/>
      <c r="I21" s="13"/>
      <c r="J21" s="13"/>
      <c r="K21" s="13"/>
      <c r="L21" s="36" t="s">
        <v>219</v>
      </c>
      <c r="M21" s="37">
        <f>SKEW(BMG!F2:F109)</f>
        <v>-6.428287858167922E-2</v>
      </c>
      <c r="N21" s="37">
        <f>SKEW('Risk Factors'!F2:F109)</f>
        <v>-0.34129074410165022</v>
      </c>
      <c r="O21" s="37">
        <f>SKEW('Risk Factors'!G2:G109)</f>
        <v>0.14057076645715194</v>
      </c>
      <c r="P21" s="37">
        <f>SKEW('Risk Factors'!H2:H109)</f>
        <v>0.25393646535608499</v>
      </c>
      <c r="Q21" s="38">
        <f>SKEW('Risk Factors'!I2:I109)</f>
        <v>-0.14402221407743135</v>
      </c>
      <c r="R21" s="111"/>
      <c r="S21" s="15"/>
    </row>
    <row r="22" spans="2:19" ht="15.75" thickBot="1">
      <c r="B22" s="12"/>
      <c r="C22" s="13"/>
      <c r="D22" s="13"/>
      <c r="E22" s="13"/>
      <c r="F22" s="13"/>
      <c r="G22" s="13"/>
      <c r="H22" s="13"/>
      <c r="I22" s="13"/>
      <c r="J22" s="13"/>
      <c r="K22" s="13"/>
      <c r="L22" s="42" t="s">
        <v>10</v>
      </c>
      <c r="M22" s="43">
        <f>KURT(BMG!F2:F109)</f>
        <v>0.14431527849782677</v>
      </c>
      <c r="N22" s="43">
        <f>KURT('Risk Factors'!F2:F109)</f>
        <v>0.72277051451840624</v>
      </c>
      <c r="O22" s="43">
        <f>KURT('Risk Factors'!G2:G109)</f>
        <v>-0.13291901499679559</v>
      </c>
      <c r="P22" s="43">
        <f>KURT('Risk Factors'!H2:H109)</f>
        <v>1.9582496342210209E-2</v>
      </c>
      <c r="Q22" s="44">
        <f>KURT('Risk Factors'!I2:I109)</f>
        <v>-2.7536513934638407E-2</v>
      </c>
      <c r="R22" s="112"/>
      <c r="S22" s="15"/>
    </row>
    <row r="23" spans="2:19" ht="15.75" thickBot="1">
      <c r="B23" s="12"/>
      <c r="C23" s="13"/>
      <c r="D23" s="13"/>
      <c r="E23" s="13"/>
      <c r="F23" s="13"/>
      <c r="G23" s="13"/>
      <c r="H23" s="13"/>
      <c r="I23" s="13"/>
      <c r="J23" s="13"/>
      <c r="K23" s="13"/>
      <c r="L23" s="33"/>
      <c r="M23" s="33"/>
      <c r="N23" s="33"/>
      <c r="O23" s="33"/>
      <c r="P23" s="33"/>
      <c r="Q23" s="33"/>
      <c r="R23" s="113"/>
      <c r="S23" s="15"/>
    </row>
    <row r="24" spans="2:19" ht="15.75" thickBot="1">
      <c r="B24" s="12"/>
      <c r="C24" s="13"/>
      <c r="D24" s="13"/>
      <c r="E24" s="13"/>
      <c r="F24" s="13"/>
      <c r="G24" s="13"/>
      <c r="H24" s="13"/>
      <c r="I24" s="13"/>
      <c r="J24" s="13"/>
      <c r="K24" s="13"/>
      <c r="L24" s="449" t="s">
        <v>228</v>
      </c>
      <c r="M24" s="450"/>
      <c r="N24" s="450"/>
      <c r="O24" s="450"/>
      <c r="P24" s="450"/>
      <c r="Q24" s="451"/>
      <c r="R24" s="110"/>
      <c r="S24" s="15"/>
    </row>
    <row r="25" spans="2:19" ht="15.75" thickBot="1">
      <c r="B25" s="12"/>
      <c r="C25" s="13"/>
      <c r="D25" s="13"/>
      <c r="E25" s="13"/>
      <c r="F25" s="13"/>
      <c r="G25" s="13"/>
      <c r="H25" s="13"/>
      <c r="I25" s="13"/>
      <c r="J25" s="13"/>
      <c r="K25" s="13"/>
      <c r="L25" s="59" t="s">
        <v>229</v>
      </c>
      <c r="M25" s="60" t="s">
        <v>4</v>
      </c>
      <c r="N25" s="60" t="s">
        <v>157</v>
      </c>
      <c r="O25" s="60" t="s">
        <v>5</v>
      </c>
      <c r="P25" s="60" t="s">
        <v>6</v>
      </c>
      <c r="Q25" s="61" t="s">
        <v>7</v>
      </c>
      <c r="R25" s="95"/>
      <c r="S25" s="15"/>
    </row>
    <row r="26" spans="2:19" ht="15.75" thickBot="1">
      <c r="B26" s="12"/>
      <c r="C26" s="13"/>
      <c r="D26" s="13"/>
      <c r="E26" s="13"/>
      <c r="F26" s="13"/>
      <c r="G26" s="13"/>
      <c r="H26" s="13"/>
      <c r="I26" s="13"/>
      <c r="J26" s="13"/>
      <c r="K26" s="13"/>
      <c r="L26" s="45" t="s">
        <v>4</v>
      </c>
      <c r="M26" s="46">
        <v>1</v>
      </c>
      <c r="N26" s="88"/>
      <c r="O26" s="88"/>
      <c r="P26" s="88"/>
      <c r="Q26" s="89"/>
      <c r="R26" s="111"/>
      <c r="S26" s="15"/>
    </row>
    <row r="27" spans="2:19" ht="15.75" thickBot="1">
      <c r="B27" s="12"/>
      <c r="C27" s="13"/>
      <c r="D27" s="13"/>
      <c r="E27" s="13"/>
      <c r="F27" s="13"/>
      <c r="G27" s="13"/>
      <c r="H27" s="13"/>
      <c r="I27" s="13"/>
      <c r="J27" s="13"/>
      <c r="K27" s="13"/>
      <c r="L27" s="39" t="s">
        <v>157</v>
      </c>
      <c r="M27" s="40">
        <f>CORREL(BMG!F2:F109,'Risk Factors'!F2:F109)</f>
        <v>5.3260947365881967E-2</v>
      </c>
      <c r="N27" s="48">
        <v>1</v>
      </c>
      <c r="O27" s="40"/>
      <c r="P27" s="40"/>
      <c r="Q27" s="41"/>
      <c r="R27" s="112"/>
      <c r="S27" s="15"/>
    </row>
    <row r="28" spans="2:19" ht="15.75" thickBot="1">
      <c r="B28" s="12"/>
      <c r="C28" s="13"/>
      <c r="D28" s="13"/>
      <c r="E28" s="13"/>
      <c r="F28" s="13"/>
      <c r="G28" s="13"/>
      <c r="H28" s="13"/>
      <c r="I28" s="13"/>
      <c r="J28" s="13"/>
      <c r="K28" s="13"/>
      <c r="L28" s="36" t="s">
        <v>5</v>
      </c>
      <c r="M28" s="37">
        <f>CORREL(BMG!F2:F109,'Risk Factors'!G2:G109)</f>
        <v>0.20326704957109798</v>
      </c>
      <c r="N28" s="37">
        <f>CORREL('Risk Factors'!F2:F109,'Risk Factors'!G2:G109)</f>
        <v>1.410246535537152E-2</v>
      </c>
      <c r="O28" s="49">
        <v>1</v>
      </c>
      <c r="P28" s="90"/>
      <c r="Q28" s="91"/>
      <c r="R28" s="111"/>
      <c r="S28" s="15"/>
    </row>
    <row r="29" spans="2:19" ht="15.75" thickBot="1">
      <c r="B29" s="12"/>
      <c r="C29" s="13"/>
      <c r="D29" s="13"/>
      <c r="E29" s="13"/>
      <c r="F29" s="13"/>
      <c r="G29" s="13"/>
      <c r="H29" s="13"/>
      <c r="I29" s="13"/>
      <c r="J29" s="13"/>
      <c r="K29" s="13"/>
      <c r="L29" s="39" t="s">
        <v>6</v>
      </c>
      <c r="M29" s="40">
        <f>CORREL(BMG!F2:F109,'Risk Factors'!H2:H109)</f>
        <v>0.27410187936496955</v>
      </c>
      <c r="N29" s="40">
        <f>CORREL('Risk Factors'!F2:F109,'Risk Factors'!H2:H109)</f>
        <v>0.11512218161736434</v>
      </c>
      <c r="O29" s="40">
        <f>CORREL('Risk Factors'!G2:G109,'Risk Factors'!H2:H109)</f>
        <v>-8.9295413490609807E-2</v>
      </c>
      <c r="P29" s="48">
        <v>1</v>
      </c>
      <c r="Q29" s="41"/>
      <c r="R29" s="112"/>
      <c r="S29" s="15"/>
    </row>
    <row r="30" spans="2:19" ht="15.75" thickBot="1">
      <c r="B30" s="12"/>
      <c r="C30" s="13"/>
      <c r="D30" s="13"/>
      <c r="E30" s="13"/>
      <c r="F30" s="13"/>
      <c r="G30" s="13"/>
      <c r="H30" s="13"/>
      <c r="I30" s="13"/>
      <c r="J30" s="13"/>
      <c r="K30" s="13"/>
      <c r="L30" s="50" t="s">
        <v>7</v>
      </c>
      <c r="M30" s="51">
        <f>CORREL(BMG!F2:F109,'Risk Factors'!I2:I109)</f>
        <v>-0.21275401709256714</v>
      </c>
      <c r="N30" s="51">
        <f>CORREL('Risk Factors'!F2:F109,'Risk Factors'!I2:I109)</f>
        <v>-0.14585640509630945</v>
      </c>
      <c r="O30" s="51">
        <f>CORREL('Risk Factors'!G2:G109,'Risk Factors'!I2:I109)</f>
        <v>3.871468710814243E-2</v>
      </c>
      <c r="P30" s="51">
        <f>CORREL('Risk Factors'!H2:H109,'Risk Factors'!I2:I109)</f>
        <v>-0.4143422093293655</v>
      </c>
      <c r="Q30" s="52">
        <v>1</v>
      </c>
      <c r="R30" s="114"/>
      <c r="S30" s="15"/>
    </row>
    <row r="31" spans="2:19" ht="15.75" thickBot="1">
      <c r="B31" s="12"/>
      <c r="C31" s="13"/>
      <c r="D31" s="13"/>
      <c r="E31" s="13"/>
      <c r="F31" s="13"/>
      <c r="G31" s="13"/>
      <c r="H31" s="13"/>
      <c r="I31" s="13"/>
      <c r="J31" s="13"/>
      <c r="K31" s="13"/>
      <c r="L31" s="96"/>
      <c r="M31" s="96"/>
      <c r="N31" s="96"/>
      <c r="O31" s="96"/>
      <c r="P31" s="96"/>
      <c r="Q31" s="96"/>
      <c r="R31" s="96"/>
      <c r="S31" s="15"/>
    </row>
    <row r="32" spans="2:19" ht="15.75" thickBot="1">
      <c r="B32" s="12"/>
      <c r="C32" s="13"/>
      <c r="D32" s="13"/>
      <c r="E32" s="13"/>
      <c r="F32" s="13"/>
      <c r="G32" s="13"/>
      <c r="H32" s="13"/>
      <c r="I32" s="13"/>
      <c r="J32" s="13"/>
      <c r="K32" s="13"/>
      <c r="L32" s="449" t="s">
        <v>231</v>
      </c>
      <c r="M32" s="450"/>
      <c r="N32" s="450"/>
      <c r="O32" s="450"/>
      <c r="P32" s="450"/>
      <c r="Q32" s="451"/>
      <c r="R32" s="110"/>
      <c r="S32" s="15"/>
    </row>
    <row r="33" spans="2:19" ht="15.75" thickBot="1">
      <c r="B33" s="12"/>
      <c r="C33" s="13"/>
      <c r="D33" s="13"/>
      <c r="E33" s="13"/>
      <c r="F33" s="13"/>
      <c r="G33" s="13"/>
      <c r="H33" s="13"/>
      <c r="I33" s="13"/>
      <c r="J33" s="13"/>
      <c r="K33" s="13"/>
      <c r="L33" s="59" t="s">
        <v>230</v>
      </c>
      <c r="M33" s="62" t="s">
        <v>11</v>
      </c>
      <c r="N33" s="60" t="s">
        <v>158</v>
      </c>
      <c r="O33" s="60" t="s">
        <v>12</v>
      </c>
      <c r="P33" s="60" t="s">
        <v>13</v>
      </c>
      <c r="Q33" s="61" t="s">
        <v>14</v>
      </c>
      <c r="R33" s="95"/>
      <c r="S33" s="15"/>
    </row>
    <row r="34" spans="2:19">
      <c r="B34" s="12"/>
      <c r="C34" s="13"/>
      <c r="D34" s="13"/>
      <c r="E34" s="13"/>
      <c r="F34" s="13"/>
      <c r="G34" s="13"/>
      <c r="H34" s="13"/>
      <c r="I34" s="13"/>
      <c r="J34" s="13"/>
      <c r="K34" s="13"/>
      <c r="L34" s="68" t="s">
        <v>15</v>
      </c>
      <c r="M34" s="69">
        <f>INDEX(LINEST(BMG!F2:F109,'Risk Factors'!F2:F109,1,),2)</f>
        <v>-2.1353418306588926E-3</v>
      </c>
      <c r="N34" s="69">
        <f>INDEX(LINEST(BMG!F2:F109,'Risk Factors'!F2:F109,1,),1)</f>
        <v>2.5795766250552792E-2</v>
      </c>
      <c r="O34" s="84"/>
      <c r="P34" s="84"/>
      <c r="Q34" s="85"/>
      <c r="R34" s="119"/>
      <c r="S34" s="15"/>
    </row>
    <row r="35" spans="2:19" ht="15.75" thickBot="1">
      <c r="B35" s="12"/>
      <c r="C35" s="13"/>
      <c r="D35" s="13"/>
      <c r="E35" s="13"/>
      <c r="F35" s="13"/>
      <c r="G35" s="13"/>
      <c r="H35" s="13"/>
      <c r="I35" s="13"/>
      <c r="J35" s="13"/>
      <c r="K35" s="13"/>
      <c r="L35" s="73" t="s">
        <v>222</v>
      </c>
      <c r="M35" s="74">
        <f>_xlfn.T.DIST.2T(ABS(M34/INDEX(LINEST(BMG!F2:F109,'Risk Factors'!F2:F109,1,1),2,2)),INDEX(LINEST(BMG!F2:F109,'Risk Factors'!F2:F109,1,1),4,2))</f>
        <v>0.24209985902288667</v>
      </c>
      <c r="N35" s="74">
        <f>_xlfn.T.DIST.2T(ABS(N34/(INDEX(LINEST(BMG!F2:F109,'Risk Factors'!F2:F109,1,1),2,1))),INDEX(LINEST(BMG!F2:F109,'Risk Factors'!F2:F109,1,1),4,2))</f>
        <v>0.58406814268531604</v>
      </c>
      <c r="O35" s="86"/>
      <c r="P35" s="86"/>
      <c r="Q35" s="87"/>
      <c r="R35" s="120"/>
      <c r="S35" s="15"/>
    </row>
    <row r="36" spans="2:19">
      <c r="B36" s="12"/>
      <c r="C36" s="13"/>
      <c r="D36" s="13"/>
      <c r="E36" s="13"/>
      <c r="F36" s="13"/>
      <c r="G36" s="13"/>
      <c r="H36" s="13"/>
      <c r="I36" s="13"/>
      <c r="J36" s="13"/>
      <c r="K36" s="13"/>
      <c r="L36" s="78" t="s">
        <v>296</v>
      </c>
      <c r="M36" s="79">
        <f>INDEX(LINEST(BMG!F2:F109,'Risk Factors'!F2:H109,1,),4)</f>
        <v>-1.5758768781707236E-3</v>
      </c>
      <c r="N36" s="79">
        <f>INDEX(LINEST(BMG!F2:F109,'Risk Factors'!F2:H109,1,),3)</f>
        <v>7.9112397541038684E-3</v>
      </c>
      <c r="O36" s="79">
        <f>INDEX(LINEST(BMG!F2:F109,'Risk Factors'!F2:H109,1,),2)</f>
        <v>0.3156469088646382</v>
      </c>
      <c r="P36" s="79">
        <f>INDEX(LINEST(BMG!F2:F109,'Risk Factors'!F2:H109,1,),1)</f>
        <v>0.31684970955935871</v>
      </c>
      <c r="Q36" s="80"/>
      <c r="R36" s="121"/>
      <c r="S36" s="15"/>
    </row>
    <row r="37" spans="2:19" ht="15.75" thickBot="1">
      <c r="B37" s="12"/>
      <c r="C37" s="13"/>
      <c r="D37" s="13"/>
      <c r="E37" s="13"/>
      <c r="F37" s="13"/>
      <c r="G37" s="13"/>
      <c r="H37" s="13"/>
      <c r="I37" s="13"/>
      <c r="J37" s="13"/>
      <c r="K37" s="13"/>
      <c r="L37" s="81" t="s">
        <v>222</v>
      </c>
      <c r="M37" s="82">
        <f>_xlfn.T.DIST.2T(ABS(M36/INDEX(LINEST(BMG!F2:F109,'Risk Factors'!F2:H109,1,1),2,4)),INDEX(LINEST(BMG!F2:F109,'Risk Factors'!F2:H109,1,1),4,2))</f>
        <v>0.36250093424816476</v>
      </c>
      <c r="N37" s="82">
        <f>_xlfn.T.DIST.2T(ABS(N36/INDEX(LINEST(BMG!F2:F109,'Risk Factors'!F2:H109,1,1),2,3)),INDEX(LINEST(BMG!F2:F109,'Risk Factors'!F2:H109,1,1),4,2))</f>
        <v>0.85976283822498256</v>
      </c>
      <c r="O37" s="82">
        <f>_xlfn.T.DIST.2T(ABS(O36/INDEX(LINEST(BMG!F2:F109,'Risk Factors'!F2:H109,1,1),2,2)),INDEX(LINEST(BMG!F2:F109,'Risk Factors'!F2:H109,1,1),4,2))</f>
        <v>1.4299095939334991E-2</v>
      </c>
      <c r="P37" s="82">
        <f>_xlfn.T.DIST.2T(ABS(P36/INDEX(LINEST(BMG!F2:F109,'Risk Factors'!F2:H109,1,1),2,1)),INDEX(LINEST(BMG!F2:F109,'Risk Factors'!F2:H109,1,1),4,2))</f>
        <v>2.0586469725773111E-3</v>
      </c>
      <c r="Q37" s="83"/>
      <c r="R37" s="117"/>
      <c r="S37" s="15"/>
    </row>
    <row r="38" spans="2:19">
      <c r="B38" s="12"/>
      <c r="C38" s="13"/>
      <c r="D38" s="13"/>
      <c r="E38" s="13"/>
      <c r="F38" s="13"/>
      <c r="G38" s="13"/>
      <c r="H38" s="13"/>
      <c r="I38" s="13"/>
      <c r="J38" s="13"/>
      <c r="K38" s="13"/>
      <c r="L38" s="75" t="s">
        <v>295</v>
      </c>
      <c r="M38" s="76">
        <f>INDEX(LINEST(BMG!F2:F109,'Risk Factors'!F2:I109,1,),5)</f>
        <v>-1.0750232976699109E-3</v>
      </c>
      <c r="N38" s="76">
        <f>INDEX(LINEST(BMG!F2:F109,'Risk Factors'!F2:I109,1,),4)</f>
        <v>2.13872435553233E-3</v>
      </c>
      <c r="O38" s="76">
        <f>INDEX(LINEST(BMG!F2:F109,'Risk Factors'!F2:I109,1,),3)</f>
        <v>0.31633552100917106</v>
      </c>
      <c r="P38" s="76">
        <f>INDEX(LINEST(BMG!F2:F109,'Risk Factors'!F2:I109,1,),2)</f>
        <v>0.26469586998621214</v>
      </c>
      <c r="Q38" s="77">
        <f>INDEX(LINEST(BMG!F2:F109,'Risk Factors'!F2:I109,1,),1)</f>
        <v>-9.3093997899980879E-2</v>
      </c>
      <c r="R38" s="115"/>
      <c r="S38" s="15"/>
    </row>
    <row r="39" spans="2:19" ht="15.75" thickBot="1">
      <c r="B39" s="12"/>
      <c r="C39" s="13"/>
      <c r="D39" s="13"/>
      <c r="E39" s="13"/>
      <c r="F39" s="13"/>
      <c r="G39" s="13"/>
      <c r="H39" s="13"/>
      <c r="I39" s="13"/>
      <c r="J39" s="13"/>
      <c r="K39" s="13"/>
      <c r="L39" s="70" t="s">
        <v>222</v>
      </c>
      <c r="M39" s="71">
        <f>_xlfn.T.DIST.2T(ABS(M38/INDEX(LINEST(BMG!F2:F109,'Risk Factors'!F2:I109,1,1),2,5)),INDEX(LINEST(BMG!F2:F109,'Risk Factors'!F2:I109,1,1),4,2))</f>
        <v>0.5451404267186899</v>
      </c>
      <c r="N39" s="71">
        <f>_xlfn.T.DIST.2T(ABS(N38/INDEX(LINEST(BMG!F2:F109,'Risk Factors'!F2:I109,1,1),2,4)),INDEX(LINEST(BMG!F2:F109,'Risk Factors'!F2:I109,1,1),4,2))</f>
        <v>0.96205570092272463</v>
      </c>
      <c r="O39" s="71">
        <f>_xlfn.T.DIST.2T(ABS(O38/INDEX(LINEST(BMG!F2:F109,'Risk Factors'!F2:I109,1,1),2,3)),INDEX(LINEST(BMG!F2:F109,'Risk Factors'!F2:I109,1,1),4,2))</f>
        <v>1.3930549433412397E-2</v>
      </c>
      <c r="P39" s="71">
        <f>_xlfn.T.DIST.2T(ABS(P38/INDEX(LINEST(BMG!F2:F109,'Risk Factors'!F2:I109,1,1),2,2)),INDEX(LINEST(BMG!F2:F109,'Risk Factors'!F2:I109,1,1),4,2))</f>
        <v>1.7189041914647849E-2</v>
      </c>
      <c r="Q39" s="72">
        <f>_xlfn.T.DIST.2T(ABS(Q38/INDEX(LINEST(BMG!F2:F109,'Risk Factors'!F2:I109,1,1),2,1)),INDEX(LINEST(BMG!F2:F109,'Risk Factors'!F2:I109,1,1),4,2))</f>
        <v>0.23887026649079202</v>
      </c>
      <c r="R39" s="116"/>
      <c r="S39" s="15"/>
    </row>
    <row r="40" spans="2:19" ht="15.75" thickBot="1">
      <c r="B40" s="12"/>
      <c r="C40" s="13"/>
      <c r="D40" s="13"/>
      <c r="E40" s="13"/>
      <c r="F40" s="13"/>
      <c r="G40" s="13"/>
      <c r="H40" s="13"/>
      <c r="I40" s="13"/>
      <c r="J40" s="13"/>
      <c r="K40" s="13"/>
      <c r="L40" s="95"/>
      <c r="M40" s="96"/>
      <c r="N40" s="96"/>
      <c r="O40" s="96"/>
      <c r="P40" s="96"/>
      <c r="Q40" s="96"/>
      <c r="R40" s="96"/>
      <c r="S40" s="15"/>
    </row>
    <row r="41" spans="2:19" ht="15.75" thickBot="1">
      <c r="B41" s="12"/>
      <c r="C41" s="13"/>
      <c r="D41" s="13"/>
      <c r="E41" s="13"/>
      <c r="F41" s="13"/>
      <c r="G41" s="13"/>
      <c r="H41" s="13"/>
      <c r="I41" s="13"/>
      <c r="J41" s="13"/>
      <c r="K41" s="13"/>
      <c r="L41" s="449" t="s">
        <v>232</v>
      </c>
      <c r="M41" s="450"/>
      <c r="N41" s="450"/>
      <c r="O41" s="450"/>
      <c r="P41" s="450"/>
      <c r="Q41" s="451"/>
      <c r="R41" s="110"/>
      <c r="S41" s="15"/>
    </row>
    <row r="42" spans="2:19" ht="15.75" thickBot="1">
      <c r="B42" s="12"/>
      <c r="C42" s="13"/>
      <c r="D42" s="13"/>
      <c r="E42" s="13"/>
      <c r="F42" s="13"/>
      <c r="G42" s="13"/>
      <c r="H42" s="13"/>
      <c r="I42" s="13"/>
      <c r="J42" s="13"/>
      <c r="K42" s="13"/>
      <c r="L42" s="59" t="s">
        <v>233</v>
      </c>
      <c r="M42" s="63">
        <v>10000</v>
      </c>
      <c r="N42" s="63">
        <v>100000</v>
      </c>
      <c r="O42" s="63">
        <v>250000</v>
      </c>
      <c r="P42" s="63">
        <v>500000</v>
      </c>
      <c r="Q42" s="411">
        <v>1000000</v>
      </c>
      <c r="R42" s="122"/>
      <c r="S42" s="15"/>
    </row>
    <row r="43" spans="2:19" ht="15.75" thickBot="1">
      <c r="B43" s="12"/>
      <c r="C43" s="13"/>
      <c r="D43" s="13"/>
      <c r="E43" s="13"/>
      <c r="F43" s="13"/>
      <c r="G43" s="13"/>
      <c r="H43" s="13"/>
      <c r="I43" s="13"/>
      <c r="J43" s="13"/>
      <c r="K43" s="13"/>
      <c r="L43" s="35" t="s">
        <v>174</v>
      </c>
      <c r="M43" s="53">
        <f>ABS(_xlfn.PERCENTILE.INC(BMG!$F$2:$F$109,0.01)*M42)</f>
        <v>468.05633</v>
      </c>
      <c r="N43" s="53">
        <f>ABS(_xlfn.PERCENTILE.INC(BMG!$F$2:$F$109,0.01)*N42)</f>
        <v>4680.5632999999998</v>
      </c>
      <c r="O43" s="53">
        <f>ABS(_xlfn.PERCENTILE.INC(BMG!$F$2:$F$109,0.01)*O42)</f>
        <v>11701.40825</v>
      </c>
      <c r="P43" s="53">
        <f>ABS(_xlfn.PERCENTILE.INC(BMG!$F$2:$F$109,0.01)*P42)</f>
        <v>23402.816500000001</v>
      </c>
      <c r="Q43" s="412">
        <f>ABS(_xlfn.PERCENTILE.INC(BMG!$F$2:$F$109,0.01)*Q42)</f>
        <v>46805.633000000002</v>
      </c>
      <c r="R43" s="97"/>
      <c r="S43" s="15"/>
    </row>
    <row r="44" spans="2:19" ht="15.75" thickBot="1">
      <c r="B44" s="12"/>
      <c r="C44" s="13"/>
      <c r="D44" s="13"/>
      <c r="E44" s="13"/>
      <c r="F44" s="13"/>
      <c r="G44" s="13"/>
      <c r="H44" s="13"/>
      <c r="I44" s="13"/>
      <c r="J44" s="13"/>
      <c r="K44" s="13"/>
      <c r="L44" s="36" t="s">
        <v>175</v>
      </c>
      <c r="M44" s="55">
        <f>ABS(_xlfn.PERCENTILE.INC(BMG!$F$2:$F$109,0.05)*M42)</f>
        <v>289.23045000000002</v>
      </c>
      <c r="N44" s="55">
        <f>ABS(_xlfn.PERCENTILE.INC(BMG!$F$2:$F$109,0.05)*N42)</f>
        <v>2892.3045000000002</v>
      </c>
      <c r="O44" s="55">
        <f>ABS(_xlfn.PERCENTILE.INC(BMG!$F$2:$F$109,0.05)*O42)</f>
        <v>7230.7612500000005</v>
      </c>
      <c r="P44" s="55">
        <f>ABS(_xlfn.PERCENTILE.INC(BMG!$F$2:$F$109,0.05)*P42)</f>
        <v>14461.522500000001</v>
      </c>
      <c r="Q44" s="413">
        <f>ABS(_xlfn.PERCENTILE.INC(BMG!$F$2:$F$109,0.05)*Q42)</f>
        <v>28923.045000000002</v>
      </c>
      <c r="R44" s="99"/>
      <c r="S44" s="15"/>
    </row>
    <row r="45" spans="2:19" ht="15.75" thickBot="1">
      <c r="B45" s="12"/>
      <c r="C45" s="13"/>
      <c r="D45" s="13"/>
      <c r="E45" s="13"/>
      <c r="F45" s="13"/>
      <c r="G45" s="13"/>
      <c r="H45" s="13"/>
      <c r="I45" s="13"/>
      <c r="J45" s="13"/>
      <c r="K45" s="13"/>
      <c r="L45" s="39" t="s">
        <v>176</v>
      </c>
      <c r="M45" s="57">
        <f ca="1">ABS(AVERAGEIF(OFFSET(INDEX(BMG!$F$2:$F$109,2),0,0,$D$14),"&lt;"&amp;_xlfn.PERCENTILE.INC(BMG!$F$2:$F$109,0.01))*M42)</f>
        <v>498.71800000000002</v>
      </c>
      <c r="N45" s="57">
        <f ca="1">ABS(AVERAGEIF(OFFSET(INDEX(BMG!$F$2:$F$109,2),0,0,$D$14),"&lt;"&amp;_xlfn.PERCENTILE.INC(BMG!$F$2:$F$109,0.01))*N42)</f>
        <v>4987.18</v>
      </c>
      <c r="O45" s="57">
        <f ca="1">ABS(AVERAGEIF(OFFSET(INDEX(BMG!$F$2:$F$109,2),0,0,$D$14),"&lt;"&amp;_xlfn.PERCENTILE.INC(BMG!$F$2:$F$109,0.01))*O42)</f>
        <v>12467.95</v>
      </c>
      <c r="P45" s="57">
        <f ca="1">ABS(AVERAGEIF(OFFSET(INDEX(BMG!$F$2:$F$109,2),0,0,$D$14),"&lt;"&amp;_xlfn.PERCENTILE.INC(BMG!$F$2:$F$109,0.01))*P42)</f>
        <v>24935.9</v>
      </c>
      <c r="Q45" s="414">
        <f ca="1">ABS(AVERAGEIF(OFFSET(INDEX(BMG!$F$2:$F$109,2),0,0,$D$14),"&lt;"&amp;_xlfn.PERCENTILE.INC(BMG!$F$2:$F$109,0.01))*Q42)</f>
        <v>49871.8</v>
      </c>
      <c r="R45" s="97"/>
      <c r="S45" s="15"/>
    </row>
    <row r="46" spans="2:19" ht="15.75" thickBot="1">
      <c r="B46" s="12"/>
      <c r="C46" s="13"/>
      <c r="D46" s="13"/>
      <c r="E46" s="13"/>
      <c r="F46" s="13"/>
      <c r="G46" s="13"/>
      <c r="H46" s="13"/>
      <c r="I46" s="13"/>
      <c r="J46" s="13"/>
      <c r="K46" s="13"/>
      <c r="L46" s="204" t="s">
        <v>177</v>
      </c>
      <c r="M46" s="278">
        <f ca="1">ABS(AVERAGEIF(OFFSET(INDEX(BMG!$F$2:$F$109,2),0,0,$D$14),"&lt;"&amp;_xlfn.PERCENTILE.INC(BMG!$F$2:$F$109,0.05))*M42)</f>
        <v>406.4158333333333</v>
      </c>
      <c r="N46" s="278">
        <f ca="1">ABS(AVERAGEIF(OFFSET(INDEX(BMG!$F$2:$F$109,2),0,0,$D$14),"&lt;"&amp;_xlfn.PERCENTILE.INC(BMG!$F$2:$F$109,0.05))*N42)</f>
        <v>4064.1583333333328</v>
      </c>
      <c r="O46" s="278">
        <f ca="1">ABS(AVERAGEIF(OFFSET(INDEX(BMG!$F$2:$F$109,2),0,0,$D$14),"&lt;"&amp;_xlfn.PERCENTILE.INC(BMG!$F$2:$F$109,0.05))*O42)</f>
        <v>10160.395833333332</v>
      </c>
      <c r="P46" s="278">
        <f ca="1">ABS(AVERAGEIF(OFFSET(INDEX(BMG!$F$2:$F$109,2),0,0,$D$14),"&lt;"&amp;_xlfn.PERCENTILE.INC(BMG!$F$2:$F$109,0.05))*P42)</f>
        <v>20320.791666666664</v>
      </c>
      <c r="Q46" s="415">
        <f ca="1">ABS(AVERAGEIF(OFFSET(INDEX(BMG!$F$2:$F$109,2),0,0,$D$14),"&lt;"&amp;_xlfn.PERCENTILE.INC(BMG!$F$2:$F$109,0.05))*Q42)</f>
        <v>40641.583333333328</v>
      </c>
      <c r="R46" s="99"/>
      <c r="S46" s="15"/>
    </row>
    <row r="47" spans="2:19">
      <c r="B47" s="12"/>
      <c r="C47" s="13"/>
      <c r="D47" s="13"/>
      <c r="E47" s="13"/>
      <c r="F47" s="13"/>
      <c r="G47" s="13"/>
      <c r="H47" s="13"/>
      <c r="I47" s="13"/>
      <c r="J47" s="13"/>
      <c r="K47" s="13"/>
      <c r="L47" s="279"/>
      <c r="M47" s="280"/>
      <c r="N47" s="281"/>
      <c r="O47" s="281"/>
      <c r="P47" s="281"/>
      <c r="Q47" s="282"/>
      <c r="R47" s="100"/>
      <c r="S47" s="15"/>
    </row>
    <row r="48" spans="2:19" ht="21.75" customHeight="1" thickBot="1">
      <c r="B48" s="20"/>
      <c r="C48" s="7"/>
      <c r="D48" s="7"/>
      <c r="E48" s="7"/>
      <c r="F48" s="7"/>
      <c r="G48" s="7"/>
      <c r="H48" s="7"/>
      <c r="I48" s="7"/>
      <c r="J48" s="7"/>
      <c r="K48" s="7"/>
      <c r="L48" s="34"/>
      <c r="M48" s="34"/>
      <c r="N48" s="34"/>
      <c r="O48" s="34"/>
      <c r="P48" s="34"/>
      <c r="Q48" s="34"/>
      <c r="R48" s="34"/>
      <c r="S48" s="21"/>
    </row>
    <row r="49" spans="2:11">
      <c r="B49" s="10"/>
      <c r="C49" s="10"/>
      <c r="D49" s="10"/>
      <c r="E49" s="10"/>
      <c r="F49" s="10"/>
      <c r="G49" s="10"/>
      <c r="H49" s="10"/>
      <c r="I49" s="10"/>
      <c r="J49" s="10"/>
      <c r="K49" s="10"/>
    </row>
  </sheetData>
  <sheetProtection algorithmName="SHA-512" hashValue="5hHKViZl7PoAfmZdPEMhpX3CJ8TfCjZ+xNTetc8OSHSKQzMCuX2mzEJuEWIzTQHnHnJc11qq/lQrc2nPiqqnUA==" saltValue="Dlw1fIcsG37lD0wGVxK1Ag==" spinCount="100000" sheet="1" objects="1" scenarios="1"/>
  <mergeCells count="7">
    <mergeCell ref="L41:Q41"/>
    <mergeCell ref="F9:H9"/>
    <mergeCell ref="F2:N4"/>
    <mergeCell ref="C9:D9"/>
    <mergeCell ref="L9:Q9"/>
    <mergeCell ref="L24:Q24"/>
    <mergeCell ref="L32:Q32"/>
  </mergeCells>
  <dataValidations count="3">
    <dataValidation type="decimal" allowBlank="1" showInputMessage="1" showErrorMessage="1" sqref="H14:H15">
      <formula1>0</formula1>
      <formula2>1</formula2>
    </dataValidation>
    <dataValidation type="decimal" allowBlank="1" showInputMessage="1" showErrorMessage="1" sqref="M42:Q42">
      <formula1>0</formula1>
      <formula2>1000000</formula2>
    </dataValidation>
    <dataValidation type="list" allowBlank="1" showInputMessage="1" showErrorMessage="1" sqref="G10:G15">
      <formula1>"yes,no"</formula1>
    </dataValidation>
  </dataValidation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E838C"/>
  </sheetPr>
  <dimension ref="A1"/>
  <sheetViews>
    <sheetView workbookViewId="0"/>
  </sheetViews>
  <sheetFormatPr baseColWidth="10" defaultRowHeight="15"/>
  <cols>
    <col min="1" max="16384" width="11.42578125" style="9"/>
  </cols>
  <sheetData/>
  <sheetProtection algorithmName="SHA-512" hashValue="cFcocuf3VggLO8pfwG9stiBuXSrHU0g1IDh5FYW4FmE7X3cukf8Hp7aCB2r7xM4OIlXkofbSGLLIyXOW281r3Q==" saltValue="JSSgSEeMTQLYRvqLxLSxDA==" spinCount="100000" sheet="1" objects="1" scenario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5E838C"/>
    <pageSetUpPr autoPageBreaks="0"/>
  </sheetPr>
  <dimension ref="A1:H24"/>
  <sheetViews>
    <sheetView workbookViewId="0"/>
  </sheetViews>
  <sheetFormatPr baseColWidth="10" defaultColWidth="11.42578125" defaultRowHeight="12.75"/>
  <cols>
    <col min="1" max="2" width="2" style="1" customWidth="1"/>
    <col min="3" max="3" width="105.7109375" style="1" customWidth="1"/>
    <col min="4" max="4" width="2" style="1" customWidth="1"/>
    <col min="5" max="8" width="11.42578125" style="1" customWidth="1"/>
    <col min="9" max="9" width="4" style="1" customWidth="1"/>
    <col min="10" max="10" width="9.85546875" style="1" customWidth="1"/>
    <col min="11" max="11" width="15" style="1" customWidth="1"/>
    <col min="12" max="12" width="8" style="1" customWidth="1"/>
    <col min="13" max="16384" width="11.42578125" style="1"/>
  </cols>
  <sheetData>
    <row r="1" spans="1:8">
      <c r="A1" s="257"/>
    </row>
    <row r="2" spans="1:8" ht="70.5" customHeight="1"/>
    <row r="3" spans="1:8" ht="5.25" customHeight="1"/>
    <row r="4" spans="1:8" ht="9" customHeight="1"/>
    <row r="5" spans="1:8" ht="390" customHeight="1">
      <c r="A5" s="327"/>
      <c r="B5" s="328"/>
      <c r="C5" s="328"/>
      <c r="D5" s="328"/>
      <c r="E5" s="327"/>
      <c r="F5" s="327"/>
      <c r="G5" s="327"/>
      <c r="H5" s="327"/>
    </row>
    <row r="6" spans="1:8">
      <c r="A6" s="327"/>
      <c r="B6" s="327"/>
      <c r="C6" s="327"/>
      <c r="D6" s="327"/>
      <c r="E6" s="327"/>
      <c r="F6" s="327"/>
      <c r="G6" s="327"/>
      <c r="H6" s="327"/>
    </row>
    <row r="7" spans="1:8">
      <c r="A7" s="327"/>
      <c r="B7" s="327"/>
      <c r="C7" s="327"/>
      <c r="D7" s="327"/>
      <c r="E7" s="327"/>
      <c r="F7" s="327"/>
      <c r="G7" s="327"/>
      <c r="H7" s="327"/>
    </row>
    <row r="8" spans="1:8">
      <c r="A8" s="327"/>
      <c r="B8" s="327"/>
      <c r="C8" s="327"/>
      <c r="D8" s="327"/>
      <c r="E8" s="327"/>
      <c r="F8" s="327"/>
      <c r="G8" s="327"/>
      <c r="H8" s="327"/>
    </row>
    <row r="9" spans="1:8">
      <c r="A9" s="327"/>
      <c r="B9" s="327"/>
      <c r="C9" s="327"/>
      <c r="D9" s="327"/>
      <c r="E9" s="327"/>
      <c r="F9" s="327"/>
      <c r="G9" s="327"/>
      <c r="H9" s="327"/>
    </row>
    <row r="10" spans="1:8">
      <c r="A10" s="327"/>
      <c r="B10" s="327"/>
      <c r="C10" s="327"/>
      <c r="D10" s="327"/>
      <c r="E10" s="327"/>
      <c r="F10" s="327"/>
      <c r="G10" s="327"/>
      <c r="H10" s="327"/>
    </row>
    <row r="11" spans="1:8">
      <c r="A11" s="327"/>
      <c r="B11" s="327"/>
      <c r="C11" s="327"/>
      <c r="D11" s="327"/>
      <c r="E11" s="327"/>
      <c r="F11" s="327"/>
      <c r="G11" s="327"/>
      <c r="H11" s="327"/>
    </row>
    <row r="12" spans="1:8">
      <c r="A12" s="327"/>
      <c r="B12" s="327"/>
      <c r="C12" s="327"/>
      <c r="D12" s="327"/>
      <c r="E12" s="327"/>
      <c r="F12" s="327"/>
      <c r="G12" s="327"/>
      <c r="H12" s="327"/>
    </row>
    <row r="13" spans="1:8">
      <c r="A13" s="327"/>
      <c r="B13" s="327"/>
      <c r="C13" s="327"/>
      <c r="D13" s="327"/>
      <c r="E13" s="327"/>
      <c r="F13" s="327"/>
      <c r="G13" s="327"/>
      <c r="H13" s="327"/>
    </row>
    <row r="14" spans="1:8">
      <c r="A14" s="327"/>
      <c r="B14" s="327"/>
      <c r="C14" s="327"/>
      <c r="D14" s="327"/>
      <c r="E14" s="327"/>
      <c r="F14" s="327"/>
      <c r="G14" s="327"/>
      <c r="H14" s="327"/>
    </row>
    <row r="15" spans="1:8">
      <c r="A15" s="327"/>
      <c r="B15" s="327"/>
      <c r="C15" s="327"/>
      <c r="D15" s="327"/>
      <c r="E15" s="327"/>
      <c r="F15" s="327"/>
      <c r="G15" s="327"/>
      <c r="H15" s="327"/>
    </row>
    <row r="16" spans="1:8">
      <c r="A16" s="327"/>
      <c r="B16" s="327"/>
      <c r="C16" s="327"/>
      <c r="D16" s="327"/>
      <c r="E16" s="327"/>
      <c r="F16" s="327"/>
      <c r="G16" s="327"/>
      <c r="H16" s="327"/>
    </row>
    <row r="17" spans="1:8">
      <c r="A17" s="327"/>
      <c r="B17" s="327"/>
      <c r="C17" s="327"/>
      <c r="D17" s="327"/>
      <c r="E17" s="327"/>
      <c r="F17" s="327"/>
      <c r="G17" s="327"/>
      <c r="H17" s="327"/>
    </row>
    <row r="18" spans="1:8">
      <c r="C18" s="258"/>
    </row>
    <row r="19" spans="1:8">
      <c r="C19" s="258"/>
    </row>
    <row r="20" spans="1:8">
      <c r="C20" s="258"/>
    </row>
    <row r="21" spans="1:8">
      <c r="C21" s="258"/>
    </row>
    <row r="22" spans="1:8">
      <c r="C22" s="258"/>
    </row>
    <row r="23" spans="1:8">
      <c r="C23" s="258"/>
    </row>
    <row r="24" spans="1:8">
      <c r="C24" s="258"/>
    </row>
  </sheetData>
  <sheetProtection algorithmName="SHA-512" hashValue="u8gS3ZlxWFbmVJqdwVpBIIwxpMUBtvRKQtbdM39w3MhNr5PjkijIthkp8Sd0YUOEMtcl9s6/n6F/kiI7+oAnYw==" saltValue="VviPvxAX+pppzol8tHZVGg==" spinCount="100000" sheet="1" objects="1" scenarios="1"/>
  <pageMargins left="0.7" right="0.7" top="0.78740157499999996" bottom="0.78740157499999996"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E1:O3352"/>
  <sheetViews>
    <sheetView workbookViewId="0"/>
  </sheetViews>
  <sheetFormatPr baseColWidth="10" defaultRowHeight="15"/>
  <cols>
    <col min="3" max="5" width="11.42578125" customWidth="1"/>
    <col min="6" max="6" width="11.42578125" style="8" customWidth="1"/>
    <col min="7" max="7" width="15.28515625" bestFit="1" customWidth="1"/>
    <col min="8" max="9" width="11.42578125" customWidth="1"/>
    <col min="11" max="11" width="11.42578125" customWidth="1"/>
    <col min="14" max="15" width="11.42578125" customWidth="1"/>
  </cols>
  <sheetData>
    <row r="1" spans="5:15">
      <c r="E1" s="24" t="s">
        <v>265</v>
      </c>
      <c r="F1" s="26" t="s">
        <v>4</v>
      </c>
      <c r="G1" s="26"/>
      <c r="H1" s="2"/>
      <c r="I1" s="2"/>
      <c r="K1" s="2"/>
      <c r="L1" s="2"/>
      <c r="N1" s="2"/>
      <c r="O1" s="2"/>
    </row>
    <row r="2" spans="5:15">
      <c r="E2" s="421">
        <v>40209</v>
      </c>
      <c r="F2" s="25">
        <v>-1.3868200000000001E-2</v>
      </c>
      <c r="G2" s="25"/>
      <c r="H2" s="3"/>
      <c r="K2" s="3"/>
      <c r="N2" s="4"/>
    </row>
    <row r="3" spans="5:15">
      <c r="E3" s="421">
        <v>40237</v>
      </c>
      <c r="F3" s="25">
        <v>1.1553300000000001E-2</v>
      </c>
      <c r="G3" s="25"/>
      <c r="H3" s="3"/>
      <c r="K3" s="3"/>
      <c r="N3" s="4"/>
    </row>
    <row r="4" spans="5:15">
      <c r="E4" s="421">
        <v>40268</v>
      </c>
      <c r="F4" s="25">
        <v>8.2559999999999995E-3</v>
      </c>
      <c r="G4" s="25"/>
      <c r="H4" s="3"/>
      <c r="K4" s="3"/>
      <c r="N4" s="4"/>
    </row>
    <row r="5" spans="5:15">
      <c r="E5" s="421">
        <v>40298</v>
      </c>
      <c r="F5" s="25">
        <v>5.1735000000000001E-3</v>
      </c>
      <c r="G5" s="25"/>
      <c r="H5" s="3"/>
      <c r="K5" s="3"/>
      <c r="N5" s="4"/>
    </row>
    <row r="6" spans="5:15">
      <c r="E6" s="421">
        <v>40329</v>
      </c>
      <c r="F6" s="25">
        <v>3.0423999999999998E-3</v>
      </c>
      <c r="G6" s="25"/>
      <c r="H6" s="3"/>
      <c r="K6" s="3"/>
      <c r="N6" s="4"/>
    </row>
    <row r="7" spans="5:15">
      <c r="E7" s="421">
        <v>40359</v>
      </c>
      <c r="F7" s="25">
        <v>-1.8381499999999999E-2</v>
      </c>
      <c r="G7" s="25"/>
      <c r="H7" s="3"/>
      <c r="K7" s="3"/>
      <c r="N7" s="4"/>
    </row>
    <row r="8" spans="5:15">
      <c r="E8" s="421">
        <v>40390</v>
      </c>
      <c r="F8" s="25">
        <v>1.3803899999999999E-2</v>
      </c>
      <c r="G8" s="25"/>
      <c r="H8" s="3"/>
      <c r="K8" s="3"/>
      <c r="N8" s="4"/>
    </row>
    <row r="9" spans="5:15">
      <c r="E9" s="421">
        <v>40421</v>
      </c>
      <c r="F9" s="25">
        <v>2.68925E-2</v>
      </c>
      <c r="G9" s="25"/>
      <c r="H9" s="3"/>
      <c r="K9" s="3"/>
      <c r="N9" s="4"/>
    </row>
    <row r="10" spans="5:15">
      <c r="E10" s="421">
        <v>40451</v>
      </c>
      <c r="F10" s="25">
        <v>-2.5877600000000001E-2</v>
      </c>
      <c r="G10" s="25"/>
      <c r="H10" s="3"/>
      <c r="K10" s="3"/>
      <c r="N10" s="4"/>
    </row>
    <row r="11" spans="5:15">
      <c r="E11" s="421">
        <v>40482</v>
      </c>
      <c r="F11" s="25">
        <v>7.1040000000000003E-4</v>
      </c>
      <c r="G11" s="25"/>
      <c r="H11" s="3"/>
      <c r="K11" s="3"/>
      <c r="N11" s="4"/>
    </row>
    <row r="12" spans="5:15">
      <c r="E12" s="421">
        <v>40512</v>
      </c>
      <c r="F12" s="25">
        <v>2.7622500000000001E-2</v>
      </c>
      <c r="G12" s="25"/>
      <c r="H12" s="3"/>
      <c r="K12" s="3"/>
      <c r="N12" s="4"/>
    </row>
    <row r="13" spans="5:15">
      <c r="E13" s="421">
        <v>40543</v>
      </c>
      <c r="F13" s="25">
        <v>1.7928800000000002E-2</v>
      </c>
      <c r="G13" s="25"/>
      <c r="H13" s="3"/>
      <c r="K13" s="3"/>
      <c r="N13" s="4"/>
    </row>
    <row r="14" spans="5:15">
      <c r="E14" s="421">
        <v>40574</v>
      </c>
      <c r="F14" s="25">
        <v>-1.32926E-2</v>
      </c>
      <c r="G14" s="25"/>
      <c r="H14" s="3"/>
      <c r="K14" s="3"/>
      <c r="N14" s="4"/>
    </row>
    <row r="15" spans="5:15">
      <c r="E15" s="421">
        <v>40602</v>
      </c>
      <c r="F15" s="25">
        <v>2.2718499999999999E-2</v>
      </c>
      <c r="G15" s="25"/>
      <c r="H15" s="3"/>
      <c r="K15" s="3"/>
      <c r="N15" s="4"/>
    </row>
    <row r="16" spans="5:15">
      <c r="E16" s="421">
        <v>40633</v>
      </c>
      <c r="F16" s="25">
        <v>9.8689999999999997E-4</v>
      </c>
      <c r="G16" s="25"/>
      <c r="H16" s="3"/>
      <c r="K16" s="3"/>
      <c r="N16" s="4"/>
    </row>
    <row r="17" spans="5:14">
      <c r="E17" s="421">
        <v>40663</v>
      </c>
      <c r="F17" s="25">
        <v>-2.128E-2</v>
      </c>
      <c r="G17" s="25"/>
      <c r="H17" s="3"/>
      <c r="K17" s="3"/>
      <c r="N17" s="4"/>
    </row>
    <row r="18" spans="5:14">
      <c r="E18" s="421">
        <v>40694</v>
      </c>
      <c r="F18" s="25">
        <v>-1.05789E-2</v>
      </c>
      <c r="G18" s="25"/>
      <c r="H18" s="3"/>
      <c r="K18" s="3"/>
      <c r="N18" s="4"/>
    </row>
    <row r="19" spans="5:14">
      <c r="E19" s="421">
        <v>40724</v>
      </c>
      <c r="F19" s="25">
        <v>-4.0318000000000003E-3</v>
      </c>
      <c r="G19" s="25"/>
      <c r="H19" s="3"/>
      <c r="K19" s="3"/>
      <c r="N19" s="4"/>
    </row>
    <row r="20" spans="5:14">
      <c r="E20" s="421">
        <v>40755</v>
      </c>
      <c r="F20" s="25">
        <v>2.90342E-2</v>
      </c>
      <c r="G20" s="25"/>
      <c r="H20" s="3"/>
      <c r="K20" s="3"/>
      <c r="N20" s="4"/>
    </row>
    <row r="21" spans="5:14">
      <c r="E21" s="421">
        <v>40786</v>
      </c>
      <c r="F21" s="25">
        <v>7.5288999999999998E-3</v>
      </c>
      <c r="G21" s="25"/>
      <c r="H21" s="3"/>
      <c r="K21" s="3"/>
      <c r="N21" s="4"/>
    </row>
    <row r="22" spans="5:14">
      <c r="E22" s="421">
        <v>40816</v>
      </c>
      <c r="F22" s="25">
        <v>-2.9084499999999999E-2</v>
      </c>
      <c r="G22" s="25"/>
      <c r="H22" s="3"/>
      <c r="K22" s="3"/>
      <c r="N22" s="4"/>
    </row>
    <row r="23" spans="5:14">
      <c r="E23" s="421">
        <v>40847</v>
      </c>
      <c r="F23" s="25">
        <v>3.7878700000000001E-2</v>
      </c>
      <c r="G23" s="25"/>
      <c r="H23" s="3"/>
      <c r="K23" s="3"/>
      <c r="N23" s="4"/>
    </row>
    <row r="24" spans="5:14">
      <c r="E24" s="421">
        <v>40877</v>
      </c>
      <c r="F24" s="25">
        <v>6.2649000000000003E-3</v>
      </c>
      <c r="G24" s="25"/>
      <c r="H24" s="3"/>
      <c r="K24" s="3"/>
      <c r="N24" s="4"/>
    </row>
    <row r="25" spans="5:14">
      <c r="E25" s="421">
        <v>40908</v>
      </c>
      <c r="F25" s="25">
        <v>9.3559999999999997E-4</v>
      </c>
      <c r="G25" s="25"/>
      <c r="H25" s="3"/>
      <c r="K25" s="3"/>
      <c r="N25" s="4"/>
    </row>
    <row r="26" spans="5:14">
      <c r="E26" s="421">
        <v>40939</v>
      </c>
      <c r="F26" s="25">
        <v>1.39825E-2</v>
      </c>
      <c r="G26" s="25"/>
      <c r="H26" s="3"/>
      <c r="K26" s="3"/>
      <c r="N26" s="4"/>
    </row>
    <row r="27" spans="5:14">
      <c r="E27" s="421">
        <v>40968</v>
      </c>
      <c r="F27" s="25">
        <v>-8.9946999999999996E-3</v>
      </c>
      <c r="G27" s="25"/>
      <c r="H27" s="3"/>
      <c r="K27" s="3"/>
      <c r="N27" s="4"/>
    </row>
    <row r="28" spans="5:14">
      <c r="E28" s="421">
        <v>40999</v>
      </c>
      <c r="F28" s="25">
        <v>-4.70316E-2</v>
      </c>
      <c r="G28" s="25"/>
      <c r="H28" s="3"/>
      <c r="K28" s="3"/>
      <c r="N28" s="4"/>
    </row>
    <row r="29" spans="5:14">
      <c r="E29" s="421">
        <v>41029</v>
      </c>
      <c r="F29" s="25">
        <v>1.32511E-2</v>
      </c>
      <c r="G29" s="25"/>
      <c r="H29" s="3"/>
      <c r="K29" s="3"/>
      <c r="N29" s="4"/>
    </row>
    <row r="30" spans="5:14">
      <c r="E30" s="421">
        <v>41060</v>
      </c>
      <c r="F30" s="25">
        <v>-6.9093999999999996E-3</v>
      </c>
      <c r="G30" s="25"/>
      <c r="H30" s="3"/>
      <c r="K30" s="3"/>
      <c r="N30" s="4"/>
    </row>
    <row r="31" spans="5:14">
      <c r="E31" s="421">
        <v>41090</v>
      </c>
      <c r="F31" s="25">
        <v>-4.0228E-3</v>
      </c>
      <c r="G31" s="25"/>
      <c r="H31" s="3"/>
      <c r="K31" s="3"/>
      <c r="N31" s="4"/>
    </row>
    <row r="32" spans="5:14">
      <c r="E32" s="421">
        <v>41121</v>
      </c>
      <c r="F32" s="25">
        <v>1.8383699999999999E-2</v>
      </c>
      <c r="G32" s="25"/>
      <c r="H32" s="3"/>
      <c r="K32" s="3"/>
      <c r="N32" s="4"/>
    </row>
    <row r="33" spans="5:14">
      <c r="E33" s="421">
        <v>41152</v>
      </c>
      <c r="F33" s="25">
        <v>-1.78929E-2</v>
      </c>
      <c r="G33" s="25"/>
      <c r="H33" s="3"/>
      <c r="K33" s="3"/>
      <c r="N33" s="4"/>
    </row>
    <row r="34" spans="5:14">
      <c r="E34" s="421">
        <v>41182</v>
      </c>
      <c r="F34" s="25">
        <v>1.07945E-2</v>
      </c>
      <c r="G34" s="25"/>
      <c r="H34" s="3"/>
      <c r="K34" s="3"/>
      <c r="N34" s="4"/>
    </row>
    <row r="35" spans="5:14">
      <c r="E35" s="421">
        <v>41213</v>
      </c>
      <c r="F35" s="25">
        <v>4.6852999999999999E-3</v>
      </c>
      <c r="G35" s="25"/>
      <c r="H35" s="3"/>
      <c r="K35" s="3"/>
      <c r="N35" s="4"/>
    </row>
    <row r="36" spans="5:14">
      <c r="E36" s="421">
        <v>41243</v>
      </c>
      <c r="F36" s="25">
        <v>-3.1395399999999997E-2</v>
      </c>
      <c r="G36" s="25"/>
      <c r="H36" s="3"/>
      <c r="K36" s="3"/>
      <c r="N36" s="4"/>
    </row>
    <row r="37" spans="5:14">
      <c r="E37" s="421">
        <v>41274</v>
      </c>
      <c r="F37" s="25">
        <v>8.3701000000000001E-3</v>
      </c>
      <c r="G37" s="25"/>
      <c r="H37" s="3"/>
      <c r="K37" s="3"/>
      <c r="N37" s="4"/>
    </row>
    <row r="38" spans="5:14">
      <c r="E38" s="421">
        <v>41305</v>
      </c>
      <c r="F38" s="25">
        <v>-2.4658900000000001E-2</v>
      </c>
      <c r="G38" s="25"/>
      <c r="H38" s="3"/>
      <c r="K38" s="3"/>
      <c r="N38" s="4"/>
    </row>
    <row r="39" spans="5:14">
      <c r="E39" s="421">
        <v>41333</v>
      </c>
      <c r="F39" s="25">
        <v>-9.1193999999999997E-3</v>
      </c>
      <c r="G39" s="25"/>
      <c r="H39" s="3"/>
      <c r="K39" s="3"/>
      <c r="N39" s="4"/>
    </row>
    <row r="40" spans="5:14">
      <c r="E40" s="421">
        <v>41364</v>
      </c>
      <c r="F40" s="25">
        <v>-1.4941899999999999E-2</v>
      </c>
      <c r="G40" s="25"/>
      <c r="H40" s="3"/>
      <c r="K40" s="3"/>
      <c r="N40" s="4"/>
    </row>
    <row r="41" spans="5:14">
      <c r="E41" s="421">
        <v>41394</v>
      </c>
      <c r="F41" s="25">
        <v>-2.8190400000000001E-2</v>
      </c>
      <c r="G41" s="25"/>
      <c r="J41" s="4"/>
    </row>
    <row r="42" spans="5:14">
      <c r="E42" s="421">
        <v>41425</v>
      </c>
      <c r="F42" s="25">
        <v>-2.2830300000000001E-2</v>
      </c>
      <c r="G42" s="25"/>
      <c r="H42" s="3"/>
      <c r="K42" s="3"/>
      <c r="N42" s="4"/>
    </row>
    <row r="43" spans="5:14">
      <c r="E43" s="421">
        <v>41455</v>
      </c>
      <c r="F43" s="25">
        <v>-1.8110299999999999E-2</v>
      </c>
      <c r="G43" s="25"/>
      <c r="H43" s="3"/>
      <c r="K43" s="3"/>
      <c r="N43" s="4"/>
    </row>
    <row r="44" spans="5:14">
      <c r="E44" s="421">
        <v>41486</v>
      </c>
      <c r="F44" s="25">
        <v>-4.3425E-3</v>
      </c>
      <c r="G44" s="25"/>
      <c r="H44" s="3"/>
      <c r="K44" s="3"/>
      <c r="N44" s="4"/>
    </row>
    <row r="45" spans="5:14">
      <c r="E45" s="421">
        <v>41517</v>
      </c>
      <c r="F45" s="25">
        <v>7.2348999999999998E-3</v>
      </c>
      <c r="G45" s="25"/>
      <c r="H45" s="3"/>
      <c r="K45" s="3"/>
      <c r="N45" s="4"/>
    </row>
    <row r="46" spans="5:14">
      <c r="E46" s="421">
        <v>41547</v>
      </c>
      <c r="F46" s="25">
        <v>-1.92757E-2</v>
      </c>
      <c r="G46" s="25"/>
      <c r="H46" s="3"/>
      <c r="K46" s="3"/>
      <c r="N46" s="4"/>
    </row>
    <row r="47" spans="5:14">
      <c r="E47" s="421">
        <v>41578</v>
      </c>
      <c r="F47" s="25">
        <v>4.6772000000000003E-3</v>
      </c>
      <c r="G47" s="25"/>
      <c r="H47" s="3"/>
      <c r="K47" s="3"/>
      <c r="N47" s="4"/>
    </row>
    <row r="48" spans="5:14">
      <c r="E48" s="421">
        <v>41608</v>
      </c>
      <c r="F48" s="25">
        <v>-2.2932600000000001E-2</v>
      </c>
      <c r="G48" s="25"/>
      <c r="H48" s="3"/>
      <c r="K48" s="3"/>
      <c r="N48" s="4"/>
    </row>
    <row r="49" spans="5:14">
      <c r="E49" s="421">
        <v>41639</v>
      </c>
      <c r="F49" s="25">
        <v>-2.3330000000000001E-4</v>
      </c>
      <c r="G49" s="25"/>
      <c r="H49" s="3"/>
      <c r="K49" s="3"/>
      <c r="N49" s="4"/>
    </row>
    <row r="50" spans="5:14">
      <c r="E50" s="421">
        <v>41670</v>
      </c>
      <c r="F50" s="25">
        <v>-3.2542000000000001E-3</v>
      </c>
      <c r="G50" s="25"/>
      <c r="H50" s="3"/>
      <c r="K50" s="3"/>
      <c r="N50" s="4"/>
    </row>
    <row r="51" spans="5:14">
      <c r="E51" s="421">
        <v>41698</v>
      </c>
      <c r="F51" s="25">
        <v>-3.3100999999999998E-3</v>
      </c>
      <c r="G51" s="25"/>
      <c r="H51" s="3"/>
      <c r="K51" s="3"/>
      <c r="N51" s="4"/>
    </row>
    <row r="52" spans="5:14">
      <c r="E52" s="421">
        <v>41729</v>
      </c>
      <c r="F52" s="25">
        <v>1.31115E-2</v>
      </c>
      <c r="G52" s="25"/>
      <c r="H52" s="3"/>
      <c r="K52" s="3"/>
      <c r="N52" s="4"/>
    </row>
    <row r="53" spans="5:14">
      <c r="E53" s="421">
        <v>41759</v>
      </c>
      <c r="F53" s="25">
        <v>5.4641999999999998E-3</v>
      </c>
      <c r="G53" s="25"/>
      <c r="H53" s="3"/>
      <c r="K53" s="3"/>
      <c r="N53" s="4"/>
    </row>
    <row r="54" spans="5:14">
      <c r="E54" s="421">
        <v>41790</v>
      </c>
      <c r="F54" s="25">
        <v>-5.1414E-3</v>
      </c>
      <c r="G54" s="25"/>
      <c r="H54" s="3"/>
      <c r="K54" s="3"/>
      <c r="N54" s="4"/>
    </row>
    <row r="55" spans="5:14">
      <c r="E55" s="421">
        <v>41820</v>
      </c>
      <c r="F55" s="25">
        <v>2.06847E-2</v>
      </c>
      <c r="G55" s="25"/>
      <c r="H55" s="3"/>
      <c r="K55" s="3"/>
      <c r="N55" s="4"/>
    </row>
    <row r="56" spans="5:14">
      <c r="E56" s="421">
        <v>41851</v>
      </c>
      <c r="F56" s="25">
        <v>2.2947000000000002E-3</v>
      </c>
      <c r="G56" s="25"/>
      <c r="H56" s="3"/>
      <c r="K56" s="3"/>
      <c r="N56" s="4"/>
    </row>
    <row r="57" spans="5:14">
      <c r="E57" s="421">
        <v>41882</v>
      </c>
      <c r="F57" s="25">
        <v>1.5625000000000001E-3</v>
      </c>
      <c r="G57" s="25"/>
      <c r="H57" s="3"/>
      <c r="K57" s="3"/>
      <c r="N57" s="4"/>
    </row>
    <row r="58" spans="5:14">
      <c r="E58" s="421">
        <v>41912</v>
      </c>
      <c r="F58" s="25">
        <v>-3.9822499999999997E-2</v>
      </c>
      <c r="G58" s="25"/>
      <c r="H58" s="3"/>
      <c r="K58" s="3"/>
      <c r="N58" s="4"/>
    </row>
    <row r="59" spans="5:14">
      <c r="E59" s="421">
        <v>41943</v>
      </c>
      <c r="F59" s="25">
        <v>-9.8171999999999999E-3</v>
      </c>
      <c r="G59" s="25"/>
      <c r="H59" s="3"/>
      <c r="K59" s="3"/>
      <c r="N59" s="4"/>
    </row>
    <row r="60" spans="5:14">
      <c r="E60" s="421">
        <v>41973</v>
      </c>
      <c r="F60" s="25">
        <v>-5.2712000000000002E-2</v>
      </c>
      <c r="G60" s="25"/>
      <c r="H60" s="3"/>
      <c r="K60" s="3"/>
      <c r="N60" s="4"/>
    </row>
    <row r="61" spans="5:14">
      <c r="E61" s="421">
        <v>42004</v>
      </c>
      <c r="F61" s="25">
        <v>3.5618999999999998E-3</v>
      </c>
      <c r="G61" s="25"/>
      <c r="H61" s="3"/>
      <c r="K61" s="3"/>
      <c r="N61" s="4"/>
    </row>
    <row r="62" spans="5:14">
      <c r="E62" s="421">
        <v>42035</v>
      </c>
      <c r="F62" s="25">
        <v>-8.0824999999999994E-3</v>
      </c>
      <c r="G62" s="25"/>
      <c r="H62" s="3"/>
      <c r="K62" s="3"/>
      <c r="N62" s="4"/>
    </row>
    <row r="63" spans="5:14">
      <c r="E63" s="421">
        <v>42063</v>
      </c>
      <c r="F63" s="25">
        <v>-3.9697999999999999E-3</v>
      </c>
      <c r="G63" s="25"/>
      <c r="H63" s="3"/>
      <c r="K63" s="3"/>
      <c r="N63" s="4"/>
    </row>
    <row r="64" spans="5:14">
      <c r="E64" s="421">
        <v>42094</v>
      </c>
      <c r="F64" s="25">
        <v>-2.2210199999999999E-2</v>
      </c>
      <c r="G64" s="25"/>
      <c r="H64" s="3"/>
      <c r="K64" s="3"/>
      <c r="N64" s="4"/>
    </row>
    <row r="65" spans="5:14">
      <c r="E65" s="421">
        <v>42124</v>
      </c>
      <c r="F65" s="25">
        <v>3.66796E-2</v>
      </c>
      <c r="G65" s="25"/>
      <c r="H65" s="3"/>
      <c r="K65" s="3"/>
      <c r="N65" s="4"/>
    </row>
    <row r="66" spans="5:14">
      <c r="E66" s="421">
        <v>42155</v>
      </c>
      <c r="F66" s="25">
        <v>-2.8623200000000001E-2</v>
      </c>
      <c r="G66" s="25"/>
      <c r="H66" s="3"/>
      <c r="K66" s="3"/>
      <c r="N66" s="4"/>
    </row>
    <row r="67" spans="5:14">
      <c r="E67" s="421">
        <v>42185</v>
      </c>
      <c r="F67" s="25">
        <v>-1.65697E-2</v>
      </c>
      <c r="G67" s="25"/>
      <c r="H67" s="3"/>
      <c r="K67" s="3"/>
      <c r="N67" s="4"/>
    </row>
    <row r="68" spans="5:14">
      <c r="E68" s="421">
        <v>42216</v>
      </c>
      <c r="F68" s="25">
        <v>-4.3803500000000002E-2</v>
      </c>
      <c r="G68" s="25"/>
      <c r="H68" s="3"/>
      <c r="K68" s="3"/>
      <c r="N68" s="4"/>
    </row>
    <row r="69" spans="5:14">
      <c r="E69" s="421">
        <v>42247</v>
      </c>
      <c r="F69" s="25">
        <v>-2.2263000000000001E-3</v>
      </c>
      <c r="G69" s="25"/>
      <c r="H69" s="3"/>
      <c r="K69" s="3"/>
      <c r="N69" s="4"/>
    </row>
    <row r="70" spans="5:14">
      <c r="E70" s="421">
        <v>42277</v>
      </c>
      <c r="F70" s="25">
        <v>-1.18756E-2</v>
      </c>
      <c r="G70" s="25"/>
      <c r="H70" s="3"/>
      <c r="K70" s="3"/>
      <c r="N70" s="4"/>
    </row>
    <row r="71" spans="5:14">
      <c r="E71" s="421">
        <v>42308</v>
      </c>
      <c r="F71" s="25">
        <v>-1.9300000000000002E-5</v>
      </c>
      <c r="G71" s="25"/>
      <c r="H71" s="3"/>
      <c r="K71" s="3"/>
      <c r="N71" s="4"/>
    </row>
    <row r="72" spans="5:14">
      <c r="E72" s="421">
        <v>42338</v>
      </c>
      <c r="F72" s="25">
        <v>-2.3494299999999999E-2</v>
      </c>
      <c r="G72" s="25"/>
      <c r="H72" s="3"/>
      <c r="K72" s="3"/>
      <c r="N72" s="4"/>
    </row>
    <row r="73" spans="5:14">
      <c r="E73" s="421">
        <v>42369</v>
      </c>
      <c r="F73" s="25">
        <v>-2.0010799999999999E-2</v>
      </c>
      <c r="G73" s="25"/>
      <c r="H73" s="3"/>
      <c r="K73" s="3"/>
      <c r="N73" s="4"/>
    </row>
    <row r="74" spans="5:14">
      <c r="E74" s="421">
        <v>42400</v>
      </c>
      <c r="F74" s="25">
        <v>5.5395000000000002E-3</v>
      </c>
      <c r="G74" s="25"/>
      <c r="H74" s="3"/>
      <c r="K74" s="3"/>
      <c r="N74" s="4"/>
    </row>
    <row r="75" spans="5:14">
      <c r="E75" s="421">
        <v>42429</v>
      </c>
      <c r="F75" s="25">
        <v>3.0120999999999998E-2</v>
      </c>
      <c r="G75" s="25"/>
      <c r="H75" s="3"/>
      <c r="K75" s="3"/>
      <c r="N75" s="4"/>
    </row>
    <row r="76" spans="5:14">
      <c r="E76" s="421">
        <v>42460</v>
      </c>
      <c r="F76" s="25">
        <v>1.9468699999999999E-2</v>
      </c>
      <c r="G76" s="25"/>
      <c r="H76" s="3"/>
      <c r="K76" s="3"/>
      <c r="N76" s="4"/>
    </row>
    <row r="77" spans="5:14">
      <c r="E77" s="421">
        <v>42490</v>
      </c>
      <c r="F77" s="25">
        <v>3.6406000000000001E-2</v>
      </c>
      <c r="G77" s="25"/>
      <c r="H77" s="3"/>
      <c r="K77" s="3"/>
      <c r="N77" s="4"/>
    </row>
    <row r="78" spans="5:14">
      <c r="E78" s="421">
        <v>42521</v>
      </c>
      <c r="F78" s="25">
        <v>-2.05615E-2</v>
      </c>
      <c r="G78" s="25"/>
      <c r="H78" s="3"/>
      <c r="K78" s="3"/>
      <c r="N78" s="4"/>
    </row>
    <row r="79" spans="5:14">
      <c r="E79" s="421">
        <v>42551</v>
      </c>
      <c r="F79" s="25">
        <v>2.6065499999999998E-2</v>
      </c>
      <c r="G79" s="25"/>
      <c r="H79" s="3"/>
      <c r="K79" s="3"/>
      <c r="N79" s="4"/>
    </row>
    <row r="80" spans="5:14">
      <c r="E80" s="421">
        <v>42582</v>
      </c>
      <c r="F80" s="25">
        <v>-7.8545000000000004E-3</v>
      </c>
      <c r="G80" s="25"/>
      <c r="H80" s="3"/>
      <c r="K80" s="3"/>
      <c r="N80" s="4"/>
    </row>
    <row r="81" spans="5:14">
      <c r="E81" s="421">
        <v>42613</v>
      </c>
      <c r="F81" s="25">
        <v>-8.267E-3</v>
      </c>
      <c r="G81" s="25"/>
      <c r="H81" s="3"/>
      <c r="K81" s="3"/>
      <c r="N81" s="4"/>
    </row>
    <row r="82" spans="5:14">
      <c r="E82" s="421">
        <v>42643</v>
      </c>
      <c r="F82" s="25">
        <v>8.4940999999999992E-3</v>
      </c>
      <c r="G82" s="25"/>
      <c r="H82" s="3"/>
      <c r="K82" s="3"/>
      <c r="N82" s="4"/>
    </row>
    <row r="83" spans="5:14">
      <c r="E83" s="421">
        <v>42674</v>
      </c>
      <c r="F83" s="25">
        <v>8.4954999999999996E-3</v>
      </c>
      <c r="G83" s="25"/>
      <c r="H83" s="3"/>
      <c r="K83" s="3"/>
      <c r="N83" s="4"/>
    </row>
    <row r="84" spans="5:14">
      <c r="E84" s="421">
        <v>42704</v>
      </c>
      <c r="F84" s="25">
        <v>2.9017399999999999E-2</v>
      </c>
      <c r="G84" s="25"/>
      <c r="H84" s="3"/>
      <c r="K84" s="3"/>
      <c r="N84" s="4"/>
    </row>
    <row r="85" spans="5:14">
      <c r="E85" s="421">
        <v>42735</v>
      </c>
      <c r="F85" s="25">
        <v>-8.5018000000000003E-3</v>
      </c>
      <c r="G85" s="25"/>
      <c r="H85" s="260"/>
      <c r="K85" s="3"/>
      <c r="N85" s="4"/>
    </row>
    <row r="86" spans="5:14">
      <c r="E86" s="421">
        <v>42736</v>
      </c>
      <c r="F86" s="25">
        <v>4.2214500000000002E-2</v>
      </c>
      <c r="G86" s="25"/>
      <c r="H86" s="3"/>
      <c r="K86" s="3"/>
      <c r="N86" s="4"/>
    </row>
    <row r="87" spans="5:14">
      <c r="E87" s="421">
        <v>42767</v>
      </c>
      <c r="F87" s="25">
        <v>-1.34343E-2</v>
      </c>
      <c r="G87" s="25"/>
      <c r="H87" s="3"/>
      <c r="K87" s="3"/>
      <c r="N87" s="4"/>
    </row>
    <row r="88" spans="5:14">
      <c r="E88" s="421">
        <v>42795</v>
      </c>
      <c r="F88" s="25">
        <v>-1.86325E-2</v>
      </c>
      <c r="G88" s="25"/>
      <c r="H88" s="3"/>
      <c r="K88" s="3"/>
      <c r="N88" s="4"/>
    </row>
    <row r="89" spans="5:14">
      <c r="E89" s="421">
        <v>42826</v>
      </c>
      <c r="F89" s="25">
        <v>-1.84542E-2</v>
      </c>
      <c r="G89" s="25"/>
      <c r="H89" s="3"/>
      <c r="K89" s="3"/>
      <c r="N89" s="4"/>
    </row>
    <row r="90" spans="5:14">
      <c r="E90" s="421">
        <v>42856</v>
      </c>
      <c r="F90" s="25">
        <v>-1.7465399999999999E-2</v>
      </c>
      <c r="G90" s="25"/>
      <c r="H90" s="3"/>
      <c r="K90" s="3"/>
      <c r="N90" s="4"/>
    </row>
    <row r="91" spans="5:14">
      <c r="E91" s="421">
        <v>42887</v>
      </c>
      <c r="F91" s="25">
        <v>1.06684E-2</v>
      </c>
      <c r="G91" s="25"/>
      <c r="H91" s="3"/>
      <c r="K91" s="3"/>
      <c r="N91" s="4"/>
    </row>
    <row r="92" spans="5:14">
      <c r="E92" s="421">
        <v>42917</v>
      </c>
      <c r="F92" s="25">
        <v>4.5535999999999997E-3</v>
      </c>
      <c r="G92" s="25"/>
      <c r="H92" s="3"/>
      <c r="K92" s="3"/>
      <c r="N92" s="4"/>
    </row>
    <row r="93" spans="5:14">
      <c r="E93" s="421">
        <v>42948</v>
      </c>
      <c r="F93" s="25">
        <v>3.9975999999999996E-3</v>
      </c>
      <c r="G93" s="25"/>
      <c r="H93" s="3"/>
      <c r="K93" s="3"/>
      <c r="N93" s="4"/>
    </row>
    <row r="94" spans="5:14">
      <c r="E94" s="421">
        <v>42979</v>
      </c>
      <c r="F94" s="25">
        <v>-1.5708E-3</v>
      </c>
      <c r="G94" s="25"/>
      <c r="H94" s="3"/>
      <c r="K94" s="3"/>
      <c r="N94" s="4"/>
    </row>
    <row r="95" spans="5:14">
      <c r="E95" s="421">
        <v>43009</v>
      </c>
      <c r="F95" s="25">
        <v>-1.3669499999999999E-2</v>
      </c>
      <c r="G95" s="25"/>
      <c r="H95" s="3"/>
      <c r="K95" s="3"/>
      <c r="N95" s="4"/>
    </row>
    <row r="96" spans="5:14">
      <c r="E96" s="421">
        <v>43040</v>
      </c>
      <c r="F96" s="25">
        <v>1.03312E-2</v>
      </c>
      <c r="G96" s="25"/>
      <c r="H96" s="3"/>
      <c r="K96" s="3"/>
      <c r="N96" s="4"/>
    </row>
    <row r="97" spans="5:14">
      <c r="E97" s="421">
        <v>43070</v>
      </c>
      <c r="F97" s="25">
        <v>9.2837000000000006E-3</v>
      </c>
      <c r="G97" s="25"/>
      <c r="H97" s="3"/>
      <c r="K97" s="3"/>
      <c r="N97" s="4"/>
    </row>
    <row r="98" spans="5:14">
      <c r="E98" s="421">
        <v>43101</v>
      </c>
      <c r="F98" s="25">
        <v>-4.5807E-3</v>
      </c>
      <c r="G98" s="25"/>
      <c r="N98" s="4"/>
    </row>
    <row r="99" spans="5:14">
      <c r="E99" s="421">
        <v>43132</v>
      </c>
      <c r="F99" s="25">
        <v>-3.333E-3</v>
      </c>
      <c r="G99" s="25"/>
      <c r="N99" s="4"/>
    </row>
    <row r="100" spans="5:14">
      <c r="E100" s="421">
        <v>43160</v>
      </c>
      <c r="F100" s="25">
        <v>1.2466400000000001E-2</v>
      </c>
      <c r="G100" s="25"/>
      <c r="N100" s="4"/>
    </row>
    <row r="101" spans="5:14">
      <c r="E101" s="421">
        <v>43191</v>
      </c>
      <c r="F101" s="25">
        <v>1.2684300000000001E-2</v>
      </c>
      <c r="G101" s="25"/>
      <c r="N101" s="4"/>
    </row>
    <row r="102" spans="5:14">
      <c r="E102" s="421">
        <v>43221</v>
      </c>
      <c r="F102" s="25">
        <v>1.1393E-3</v>
      </c>
      <c r="G102" s="25"/>
      <c r="N102" s="4"/>
    </row>
    <row r="103" spans="5:14">
      <c r="E103" s="421">
        <v>43252</v>
      </c>
      <c r="F103" s="25">
        <v>4.5326999999999998E-3</v>
      </c>
      <c r="G103" s="25"/>
      <c r="N103" s="4"/>
    </row>
    <row r="104" spans="5:14">
      <c r="E104" s="421">
        <v>43282</v>
      </c>
      <c r="F104" s="25">
        <v>-1.1169500000000001E-2</v>
      </c>
      <c r="G104" s="25"/>
      <c r="N104" s="4"/>
    </row>
    <row r="105" spans="5:14">
      <c r="E105" s="421">
        <v>43313</v>
      </c>
      <c r="F105" s="25">
        <v>-2.3355999999999998E-2</v>
      </c>
      <c r="G105" s="25"/>
      <c r="N105" s="4"/>
    </row>
    <row r="106" spans="5:14">
      <c r="E106" s="421">
        <v>43344</v>
      </c>
      <c r="F106" s="25">
        <v>-2.8105999999999999E-3</v>
      </c>
      <c r="G106" s="25"/>
      <c r="N106" s="4"/>
    </row>
    <row r="107" spans="5:14">
      <c r="E107" s="421">
        <v>43374</v>
      </c>
      <c r="F107" s="25">
        <v>-5.9461999999999996E-3</v>
      </c>
      <c r="G107" s="25"/>
      <c r="N107" s="4"/>
    </row>
    <row r="108" spans="5:14">
      <c r="E108" s="421">
        <v>43405</v>
      </c>
      <c r="F108" s="25">
        <v>2.9488000000000001E-3</v>
      </c>
      <c r="G108" s="25"/>
      <c r="N108" s="4"/>
    </row>
    <row r="109" spans="5:14">
      <c r="E109" s="421">
        <v>43435</v>
      </c>
      <c r="F109" s="25">
        <v>1.6858399999999999E-2</v>
      </c>
      <c r="G109" s="25"/>
      <c r="N109" s="4"/>
    </row>
    <row r="110" spans="5:14">
      <c r="N110" s="4"/>
    </row>
    <row r="111" spans="5:14">
      <c r="N111" s="4"/>
    </row>
    <row r="112" spans="5:14">
      <c r="N112" s="4"/>
    </row>
    <row r="113" spans="14:14">
      <c r="N113" s="4"/>
    </row>
    <row r="114" spans="14:14">
      <c r="N114" s="4"/>
    </row>
    <row r="115" spans="14:14">
      <c r="N115" s="4"/>
    </row>
    <row r="116" spans="14:14">
      <c r="N116" s="4"/>
    </row>
    <row r="117" spans="14:14">
      <c r="N117" s="4"/>
    </row>
    <row r="118" spans="14:14">
      <c r="N118" s="4"/>
    </row>
    <row r="119" spans="14:14">
      <c r="N119" s="4"/>
    </row>
    <row r="120" spans="14:14">
      <c r="N120" s="4"/>
    </row>
    <row r="121" spans="14:14">
      <c r="N121" s="4"/>
    </row>
    <row r="122" spans="14:14">
      <c r="N122" s="4"/>
    </row>
    <row r="123" spans="14:14">
      <c r="N123" s="4"/>
    </row>
    <row r="124" spans="14:14">
      <c r="N124" s="4"/>
    </row>
    <row r="125" spans="14:14">
      <c r="N125" s="4"/>
    </row>
    <row r="126" spans="14:14">
      <c r="N126" s="4"/>
    </row>
    <row r="127" spans="14:14">
      <c r="N127" s="4"/>
    </row>
    <row r="128" spans="14:14">
      <c r="N128" s="4"/>
    </row>
    <row r="129" spans="14:14">
      <c r="N129" s="4"/>
    </row>
    <row r="130" spans="14:14">
      <c r="N130" s="4"/>
    </row>
    <row r="131" spans="14:14">
      <c r="N131" s="4"/>
    </row>
    <row r="132" spans="14:14">
      <c r="N132" s="4"/>
    </row>
    <row r="133" spans="14:14">
      <c r="N133" s="4"/>
    </row>
    <row r="134" spans="14:14">
      <c r="N134" s="4"/>
    </row>
    <row r="135" spans="14:14">
      <c r="N135" s="4"/>
    </row>
    <row r="136" spans="14:14">
      <c r="N136" s="4"/>
    </row>
    <row r="137" spans="14:14">
      <c r="N137" s="4"/>
    </row>
    <row r="138" spans="14:14">
      <c r="N138" s="4"/>
    </row>
    <row r="139" spans="14:14">
      <c r="N139" s="4"/>
    </row>
    <row r="140" spans="14:14">
      <c r="N140" s="4"/>
    </row>
    <row r="141" spans="14:14">
      <c r="N141" s="4"/>
    </row>
    <row r="142" spans="14:14">
      <c r="N142" s="4"/>
    </row>
    <row r="143" spans="14:14">
      <c r="N143" s="4"/>
    </row>
    <row r="144" spans="14:14">
      <c r="N144" s="4"/>
    </row>
    <row r="145" spans="14:14">
      <c r="N145" s="4"/>
    </row>
    <row r="146" spans="14:14">
      <c r="N146" s="4"/>
    </row>
    <row r="147" spans="14:14">
      <c r="N147" s="4"/>
    </row>
    <row r="148" spans="14:14">
      <c r="N148" s="4"/>
    </row>
    <row r="149" spans="14:14">
      <c r="N149" s="4"/>
    </row>
    <row r="150" spans="14:14">
      <c r="N150" s="4"/>
    </row>
    <row r="151" spans="14:14">
      <c r="N151" s="4"/>
    </row>
    <row r="152" spans="14:14">
      <c r="N152" s="4"/>
    </row>
    <row r="153" spans="14:14">
      <c r="N153" s="4"/>
    </row>
    <row r="154" spans="14:14">
      <c r="N154" s="4"/>
    </row>
    <row r="155" spans="14:14">
      <c r="N155" s="4"/>
    </row>
    <row r="156" spans="14:14">
      <c r="N156" s="4"/>
    </row>
    <row r="157" spans="14:14">
      <c r="N157" s="4"/>
    </row>
    <row r="158" spans="14:14">
      <c r="N158" s="4"/>
    </row>
    <row r="159" spans="14:14">
      <c r="N159" s="4"/>
    </row>
    <row r="160" spans="14:14">
      <c r="N160" s="4"/>
    </row>
    <row r="161" spans="14:14">
      <c r="N161" s="4"/>
    </row>
    <row r="162" spans="14:14">
      <c r="N162" s="4"/>
    </row>
    <row r="163" spans="14:14">
      <c r="N163" s="4"/>
    </row>
    <row r="164" spans="14:14">
      <c r="N164" s="4"/>
    </row>
    <row r="165" spans="14:14">
      <c r="N165" s="4"/>
    </row>
    <row r="166" spans="14:14">
      <c r="N166" s="4"/>
    </row>
    <row r="167" spans="14:14">
      <c r="N167" s="4"/>
    </row>
    <row r="168" spans="14:14">
      <c r="N168" s="4"/>
    </row>
    <row r="169" spans="14:14">
      <c r="N169" s="4"/>
    </row>
    <row r="170" spans="14:14">
      <c r="N170" s="4"/>
    </row>
    <row r="171" spans="14:14">
      <c r="N171" s="4"/>
    </row>
    <row r="172" spans="14:14">
      <c r="N172" s="4"/>
    </row>
    <row r="173" spans="14:14">
      <c r="N173" s="4"/>
    </row>
    <row r="174" spans="14:14">
      <c r="N174" s="4"/>
    </row>
    <row r="175" spans="14:14">
      <c r="N175" s="4"/>
    </row>
    <row r="176" spans="14:14">
      <c r="N176" s="4"/>
    </row>
    <row r="177" spans="14:14">
      <c r="N177" s="4"/>
    </row>
    <row r="178" spans="14:14">
      <c r="N178" s="4"/>
    </row>
    <row r="179" spans="14:14">
      <c r="N179" s="4"/>
    </row>
    <row r="180" spans="14:14">
      <c r="N180" s="4"/>
    </row>
    <row r="181" spans="14:14">
      <c r="N181" s="4"/>
    </row>
    <row r="182" spans="14:14">
      <c r="N182" s="4"/>
    </row>
    <row r="183" spans="14:14">
      <c r="N183" s="4"/>
    </row>
    <row r="184" spans="14:14">
      <c r="N184" s="4"/>
    </row>
    <row r="185" spans="14:14">
      <c r="N185" s="4"/>
    </row>
    <row r="186" spans="14:14">
      <c r="N186" s="4"/>
    </row>
    <row r="187" spans="14:14">
      <c r="N187" s="4"/>
    </row>
    <row r="188" spans="14:14">
      <c r="N188" s="4"/>
    </row>
    <row r="189" spans="14:14">
      <c r="N189" s="4"/>
    </row>
    <row r="190" spans="14:14">
      <c r="N190" s="4"/>
    </row>
    <row r="191" spans="14:14">
      <c r="N191" s="4"/>
    </row>
    <row r="192" spans="14:14">
      <c r="N192" s="4"/>
    </row>
    <row r="193" spans="14:14">
      <c r="N193" s="4"/>
    </row>
    <row r="194" spans="14:14">
      <c r="N194" s="4"/>
    </row>
    <row r="195" spans="14:14">
      <c r="N195" s="4"/>
    </row>
    <row r="196" spans="14:14">
      <c r="N196" s="4"/>
    </row>
    <row r="197" spans="14:14">
      <c r="N197" s="4"/>
    </row>
    <row r="198" spans="14:14">
      <c r="N198" s="4"/>
    </row>
    <row r="199" spans="14:14">
      <c r="N199" s="4"/>
    </row>
    <row r="200" spans="14:14">
      <c r="N200" s="4"/>
    </row>
    <row r="201" spans="14:14">
      <c r="N201" s="4"/>
    </row>
    <row r="202" spans="14:14">
      <c r="N202" s="4"/>
    </row>
    <row r="203" spans="14:14">
      <c r="N203" s="4"/>
    </row>
    <row r="204" spans="14:14">
      <c r="N204" s="4"/>
    </row>
    <row r="205" spans="14:14">
      <c r="N205" s="4"/>
    </row>
    <row r="206" spans="14:14">
      <c r="N206" s="4"/>
    </row>
    <row r="207" spans="14:14">
      <c r="N207" s="4"/>
    </row>
    <row r="208" spans="14:14">
      <c r="N208" s="4"/>
    </row>
    <row r="209" spans="14:14">
      <c r="N209" s="4"/>
    </row>
    <row r="210" spans="14:14">
      <c r="N210" s="4"/>
    </row>
    <row r="211" spans="14:14">
      <c r="N211" s="4"/>
    </row>
    <row r="212" spans="14:14">
      <c r="N212" s="4"/>
    </row>
    <row r="213" spans="14:14">
      <c r="N213" s="4"/>
    </row>
    <row r="214" spans="14:14">
      <c r="N214" s="4"/>
    </row>
    <row r="215" spans="14:14">
      <c r="N215" s="4"/>
    </row>
    <row r="216" spans="14:14">
      <c r="N216" s="4"/>
    </row>
    <row r="217" spans="14:14">
      <c r="N217" s="4"/>
    </row>
    <row r="218" spans="14:14">
      <c r="N218" s="4"/>
    </row>
    <row r="219" spans="14:14">
      <c r="N219" s="4"/>
    </row>
    <row r="220" spans="14:14">
      <c r="N220" s="4"/>
    </row>
    <row r="221" spans="14:14">
      <c r="N221" s="4"/>
    </row>
    <row r="222" spans="14:14">
      <c r="N222" s="4"/>
    </row>
    <row r="223" spans="14:14">
      <c r="N223" s="4"/>
    </row>
    <row r="224" spans="14:14">
      <c r="N224" s="4"/>
    </row>
    <row r="225" spans="14:14">
      <c r="N225" s="4"/>
    </row>
    <row r="226" spans="14:14">
      <c r="N226" s="4"/>
    </row>
    <row r="227" spans="14:14">
      <c r="N227" s="4"/>
    </row>
    <row r="228" spans="14:14">
      <c r="N228" s="4"/>
    </row>
    <row r="229" spans="14:14">
      <c r="N229" s="4"/>
    </row>
    <row r="230" spans="14:14">
      <c r="N230" s="4"/>
    </row>
    <row r="231" spans="14:14">
      <c r="N231" s="4"/>
    </row>
    <row r="232" spans="14:14">
      <c r="N232" s="4"/>
    </row>
    <row r="233" spans="14:14">
      <c r="N233" s="4"/>
    </row>
    <row r="234" spans="14:14">
      <c r="N234" s="4"/>
    </row>
    <row r="235" spans="14:14">
      <c r="N235" s="4"/>
    </row>
    <row r="236" spans="14:14">
      <c r="N236" s="4"/>
    </row>
    <row r="237" spans="14:14">
      <c r="N237" s="4"/>
    </row>
    <row r="238" spans="14:14">
      <c r="N238" s="4"/>
    </row>
    <row r="239" spans="14:14">
      <c r="N239" s="4"/>
    </row>
    <row r="240" spans="14:14">
      <c r="N240" s="4"/>
    </row>
    <row r="241" spans="14:14">
      <c r="N241" s="4"/>
    </row>
    <row r="242" spans="14:14">
      <c r="N242" s="4"/>
    </row>
    <row r="243" spans="14:14">
      <c r="N243" s="4"/>
    </row>
    <row r="244" spans="14:14">
      <c r="N244" s="4"/>
    </row>
    <row r="245" spans="14:14">
      <c r="N245" s="4"/>
    </row>
    <row r="246" spans="14:14">
      <c r="N246" s="4"/>
    </row>
    <row r="247" spans="14:14">
      <c r="N247" s="4"/>
    </row>
    <row r="248" spans="14:14">
      <c r="N248" s="4"/>
    </row>
    <row r="249" spans="14:14">
      <c r="N249" s="4"/>
    </row>
    <row r="250" spans="14:14">
      <c r="N250" s="4"/>
    </row>
    <row r="251" spans="14:14">
      <c r="N251" s="4"/>
    </row>
    <row r="252" spans="14:14">
      <c r="N252" s="4"/>
    </row>
    <row r="253" spans="14:14">
      <c r="N253" s="4"/>
    </row>
    <row r="254" spans="14:14">
      <c r="N254" s="4"/>
    </row>
    <row r="255" spans="14:14">
      <c r="N255" s="4"/>
    </row>
    <row r="256" spans="14:14">
      <c r="N256" s="4"/>
    </row>
    <row r="257" spans="14:14">
      <c r="N257" s="4"/>
    </row>
    <row r="258" spans="14:14">
      <c r="N258" s="4"/>
    </row>
    <row r="259" spans="14:14">
      <c r="N259" s="4"/>
    </row>
    <row r="260" spans="14:14">
      <c r="N260" s="4"/>
    </row>
    <row r="261" spans="14:14">
      <c r="N261" s="4"/>
    </row>
    <row r="262" spans="14:14">
      <c r="N262" s="4"/>
    </row>
    <row r="263" spans="14:14">
      <c r="N263" s="4"/>
    </row>
    <row r="264" spans="14:14">
      <c r="N264" s="4"/>
    </row>
    <row r="265" spans="14:14">
      <c r="N265" s="4"/>
    </row>
    <row r="266" spans="14:14">
      <c r="N266" s="4"/>
    </row>
    <row r="267" spans="14:14">
      <c r="N267" s="4"/>
    </row>
    <row r="268" spans="14:14">
      <c r="N268" s="4"/>
    </row>
    <row r="269" spans="14:14">
      <c r="N269" s="4"/>
    </row>
    <row r="270" spans="14:14">
      <c r="N270" s="4"/>
    </row>
    <row r="271" spans="14:14">
      <c r="N271" s="4"/>
    </row>
    <row r="272" spans="14:14">
      <c r="N272" s="4"/>
    </row>
    <row r="273" spans="14:14">
      <c r="N273" s="4"/>
    </row>
    <row r="274" spans="14:14">
      <c r="N274" s="4"/>
    </row>
    <row r="275" spans="14:14">
      <c r="N275" s="4"/>
    </row>
    <row r="276" spans="14:14">
      <c r="N276" s="4"/>
    </row>
    <row r="277" spans="14:14">
      <c r="N277" s="4"/>
    </row>
    <row r="278" spans="14:14">
      <c r="N278" s="4"/>
    </row>
    <row r="279" spans="14:14">
      <c r="N279" s="4"/>
    </row>
    <row r="280" spans="14:14">
      <c r="N280" s="4"/>
    </row>
    <row r="281" spans="14:14">
      <c r="N281" s="4"/>
    </row>
    <row r="282" spans="14:14">
      <c r="N282" s="4"/>
    </row>
    <row r="283" spans="14:14">
      <c r="N283" s="4"/>
    </row>
    <row r="284" spans="14:14">
      <c r="N284" s="4"/>
    </row>
    <row r="285" spans="14:14">
      <c r="N285" s="4"/>
    </row>
    <row r="286" spans="14:14">
      <c r="N286" s="4"/>
    </row>
    <row r="287" spans="14:14">
      <c r="N287" s="4"/>
    </row>
    <row r="288" spans="14:14">
      <c r="N288" s="4"/>
    </row>
    <row r="289" spans="14:14">
      <c r="N289" s="4"/>
    </row>
    <row r="290" spans="14:14">
      <c r="N290" s="4"/>
    </row>
    <row r="291" spans="14:14">
      <c r="N291" s="4"/>
    </row>
    <row r="292" spans="14:14">
      <c r="N292" s="4"/>
    </row>
    <row r="293" spans="14:14">
      <c r="N293" s="4"/>
    </row>
    <row r="294" spans="14:14">
      <c r="N294" s="4"/>
    </row>
    <row r="295" spans="14:14">
      <c r="N295" s="4"/>
    </row>
    <row r="296" spans="14:14">
      <c r="N296" s="4"/>
    </row>
    <row r="297" spans="14:14">
      <c r="N297" s="4"/>
    </row>
    <row r="298" spans="14:14">
      <c r="N298" s="4"/>
    </row>
    <row r="299" spans="14:14">
      <c r="N299" s="4"/>
    </row>
    <row r="300" spans="14:14">
      <c r="N300" s="4"/>
    </row>
    <row r="301" spans="14:14">
      <c r="N301" s="4"/>
    </row>
    <row r="302" spans="14:14">
      <c r="N302" s="4"/>
    </row>
    <row r="303" spans="14:14">
      <c r="N303" s="4"/>
    </row>
    <row r="304" spans="14:14">
      <c r="N304" s="4"/>
    </row>
    <row r="305" spans="14:14">
      <c r="N305" s="4"/>
    </row>
    <row r="306" spans="14:14">
      <c r="N306" s="4"/>
    </row>
    <row r="307" spans="14:14">
      <c r="N307" s="4"/>
    </row>
    <row r="308" spans="14:14">
      <c r="N308" s="4"/>
    </row>
    <row r="309" spans="14:14">
      <c r="N309" s="4"/>
    </row>
    <row r="310" spans="14:14">
      <c r="N310" s="4"/>
    </row>
    <row r="311" spans="14:14">
      <c r="N311" s="4"/>
    </row>
    <row r="312" spans="14:14">
      <c r="N312" s="4"/>
    </row>
    <row r="313" spans="14:14">
      <c r="N313" s="4"/>
    </row>
    <row r="314" spans="14:14">
      <c r="N314" s="4"/>
    </row>
    <row r="315" spans="14:14">
      <c r="N315" s="4"/>
    </row>
    <row r="316" spans="14:14">
      <c r="N316" s="4"/>
    </row>
    <row r="317" spans="14:14">
      <c r="N317" s="4"/>
    </row>
    <row r="318" spans="14:14">
      <c r="N318" s="4"/>
    </row>
    <row r="319" spans="14:14">
      <c r="N319" s="4"/>
    </row>
    <row r="320" spans="14:14">
      <c r="N320" s="4"/>
    </row>
    <row r="321" spans="14:14">
      <c r="N321" s="4"/>
    </row>
    <row r="322" spans="14:14">
      <c r="N322" s="4"/>
    </row>
    <row r="323" spans="14:14">
      <c r="N323" s="4"/>
    </row>
    <row r="324" spans="14:14">
      <c r="N324" s="4"/>
    </row>
    <row r="325" spans="14:14">
      <c r="N325" s="4"/>
    </row>
    <row r="326" spans="14:14">
      <c r="N326" s="4"/>
    </row>
    <row r="327" spans="14:14">
      <c r="N327" s="4"/>
    </row>
    <row r="328" spans="14:14">
      <c r="N328" s="4"/>
    </row>
    <row r="329" spans="14:14">
      <c r="N329" s="4"/>
    </row>
    <row r="330" spans="14:14">
      <c r="N330" s="4"/>
    </row>
    <row r="331" spans="14:14">
      <c r="N331" s="4"/>
    </row>
    <row r="332" spans="14:14">
      <c r="N332" s="4"/>
    </row>
    <row r="333" spans="14:14">
      <c r="N333" s="4"/>
    </row>
    <row r="334" spans="14:14">
      <c r="N334" s="4"/>
    </row>
    <row r="335" spans="14:14">
      <c r="N335" s="4"/>
    </row>
    <row r="336" spans="14:14">
      <c r="N336" s="4"/>
    </row>
    <row r="337" spans="14:14">
      <c r="N337" s="4"/>
    </row>
    <row r="338" spans="14:14">
      <c r="N338" s="4"/>
    </row>
    <row r="339" spans="14:14">
      <c r="N339" s="4"/>
    </row>
    <row r="340" spans="14:14">
      <c r="N340" s="4"/>
    </row>
    <row r="341" spans="14:14">
      <c r="N341" s="4"/>
    </row>
    <row r="342" spans="14:14">
      <c r="N342" s="4"/>
    </row>
    <row r="343" spans="14:14">
      <c r="N343" s="4"/>
    </row>
    <row r="344" spans="14:14">
      <c r="N344" s="4"/>
    </row>
    <row r="345" spans="14:14">
      <c r="N345" s="4"/>
    </row>
    <row r="346" spans="14:14">
      <c r="N346" s="4"/>
    </row>
    <row r="347" spans="14:14">
      <c r="N347" s="4"/>
    </row>
    <row r="348" spans="14:14">
      <c r="N348" s="4"/>
    </row>
    <row r="349" spans="14:14">
      <c r="N349" s="4"/>
    </row>
    <row r="350" spans="14:14">
      <c r="N350" s="4"/>
    </row>
    <row r="351" spans="14:14">
      <c r="N351" s="4"/>
    </row>
    <row r="352" spans="14:14">
      <c r="N352" s="4"/>
    </row>
    <row r="353" spans="14:14">
      <c r="N353" s="4"/>
    </row>
    <row r="354" spans="14:14">
      <c r="N354" s="4"/>
    </row>
    <row r="355" spans="14:14">
      <c r="N355" s="4"/>
    </row>
    <row r="356" spans="14:14">
      <c r="N356" s="4"/>
    </row>
    <row r="357" spans="14:14">
      <c r="N357" s="4"/>
    </row>
    <row r="358" spans="14:14">
      <c r="N358" s="4"/>
    </row>
    <row r="359" spans="14:14">
      <c r="N359" s="4"/>
    </row>
    <row r="360" spans="14:14">
      <c r="N360" s="4"/>
    </row>
    <row r="361" spans="14:14">
      <c r="N361" s="4"/>
    </row>
    <row r="362" spans="14:14">
      <c r="N362" s="4"/>
    </row>
    <row r="363" spans="14:14">
      <c r="N363" s="4"/>
    </row>
    <row r="364" spans="14:14">
      <c r="N364" s="4"/>
    </row>
    <row r="365" spans="14:14">
      <c r="N365" s="4"/>
    </row>
    <row r="366" spans="14:14">
      <c r="N366" s="4"/>
    </row>
    <row r="367" spans="14:14">
      <c r="N367" s="4"/>
    </row>
    <row r="368" spans="14:14">
      <c r="N368" s="4"/>
    </row>
    <row r="369" spans="14:14">
      <c r="N369" s="4"/>
    </row>
    <row r="370" spans="14:14">
      <c r="N370" s="4"/>
    </row>
    <row r="371" spans="14:14">
      <c r="N371" s="4"/>
    </row>
    <row r="372" spans="14:14">
      <c r="N372" s="4"/>
    </row>
    <row r="373" spans="14:14">
      <c r="N373" s="4"/>
    </row>
    <row r="374" spans="14:14">
      <c r="N374" s="4"/>
    </row>
    <row r="375" spans="14:14">
      <c r="N375" s="4"/>
    </row>
    <row r="376" spans="14:14">
      <c r="N376" s="4"/>
    </row>
    <row r="377" spans="14:14">
      <c r="N377" s="4"/>
    </row>
    <row r="378" spans="14:14">
      <c r="N378" s="4"/>
    </row>
    <row r="379" spans="14:14">
      <c r="N379" s="4"/>
    </row>
    <row r="380" spans="14:14">
      <c r="N380" s="4"/>
    </row>
    <row r="381" spans="14:14">
      <c r="N381" s="4"/>
    </row>
    <row r="382" spans="14:14">
      <c r="N382" s="4"/>
    </row>
    <row r="383" spans="14:14">
      <c r="N383" s="4"/>
    </row>
    <row r="384" spans="14:14">
      <c r="N384" s="4"/>
    </row>
    <row r="385" spans="14:14">
      <c r="N385" s="4"/>
    </row>
    <row r="386" spans="14:14">
      <c r="N386" s="4"/>
    </row>
    <row r="387" spans="14:14">
      <c r="N387" s="4"/>
    </row>
    <row r="388" spans="14:14">
      <c r="N388" s="4"/>
    </row>
    <row r="389" spans="14:14">
      <c r="N389" s="4"/>
    </row>
    <row r="390" spans="14:14">
      <c r="N390" s="4"/>
    </row>
    <row r="391" spans="14:14">
      <c r="N391" s="4"/>
    </row>
    <row r="392" spans="14:14">
      <c r="N392" s="4"/>
    </row>
    <row r="393" spans="14:14">
      <c r="N393" s="4"/>
    </row>
    <row r="394" spans="14:14">
      <c r="N394" s="4"/>
    </row>
    <row r="395" spans="14:14">
      <c r="N395" s="4"/>
    </row>
    <row r="396" spans="14:14">
      <c r="N396" s="4"/>
    </row>
    <row r="397" spans="14:14">
      <c r="N397" s="4"/>
    </row>
    <row r="398" spans="14:14">
      <c r="N398" s="4"/>
    </row>
    <row r="399" spans="14:14">
      <c r="N399" s="4"/>
    </row>
    <row r="400" spans="14:14">
      <c r="N400" s="4"/>
    </row>
    <row r="401" spans="14:14">
      <c r="N401" s="4"/>
    </row>
    <row r="402" spans="14:14">
      <c r="N402" s="4"/>
    </row>
    <row r="403" spans="14:14">
      <c r="N403" s="4"/>
    </row>
    <row r="404" spans="14:14">
      <c r="N404" s="4"/>
    </row>
    <row r="405" spans="14:14">
      <c r="N405" s="4"/>
    </row>
    <row r="406" spans="14:14">
      <c r="N406" s="4"/>
    </row>
    <row r="407" spans="14:14">
      <c r="N407" s="4"/>
    </row>
    <row r="408" spans="14:14">
      <c r="N408" s="4"/>
    </row>
    <row r="409" spans="14:14">
      <c r="N409" s="4"/>
    </row>
    <row r="410" spans="14:14">
      <c r="N410" s="4"/>
    </row>
    <row r="411" spans="14:14">
      <c r="N411" s="4"/>
    </row>
    <row r="412" spans="14:14">
      <c r="N412" s="4"/>
    </row>
    <row r="413" spans="14:14">
      <c r="N413" s="4"/>
    </row>
    <row r="414" spans="14:14">
      <c r="N414" s="4"/>
    </row>
    <row r="415" spans="14:14">
      <c r="N415" s="4"/>
    </row>
    <row r="416" spans="14:14">
      <c r="N416" s="4"/>
    </row>
    <row r="417" spans="14:14">
      <c r="N417" s="4"/>
    </row>
    <row r="418" spans="14:14">
      <c r="N418" s="4"/>
    </row>
    <row r="419" spans="14:14">
      <c r="N419" s="4"/>
    </row>
    <row r="420" spans="14:14">
      <c r="N420" s="4"/>
    </row>
    <row r="421" spans="14:14">
      <c r="N421" s="4"/>
    </row>
    <row r="422" spans="14:14">
      <c r="N422" s="4"/>
    </row>
    <row r="423" spans="14:14">
      <c r="N423" s="4"/>
    </row>
    <row r="424" spans="14:14">
      <c r="N424" s="4"/>
    </row>
    <row r="425" spans="14:14">
      <c r="N425" s="4"/>
    </row>
    <row r="426" spans="14:14">
      <c r="N426" s="4"/>
    </row>
    <row r="427" spans="14:14">
      <c r="N427" s="4"/>
    </row>
    <row r="428" spans="14:14">
      <c r="N428" s="4"/>
    </row>
    <row r="429" spans="14:14">
      <c r="N429" s="4"/>
    </row>
    <row r="430" spans="14:14">
      <c r="N430" s="4"/>
    </row>
    <row r="431" spans="14:14">
      <c r="N431" s="4"/>
    </row>
    <row r="432" spans="14:14">
      <c r="N432" s="4"/>
    </row>
    <row r="433" spans="14:14">
      <c r="N433" s="4"/>
    </row>
    <row r="434" spans="14:14">
      <c r="N434" s="4"/>
    </row>
    <row r="435" spans="14:14">
      <c r="N435" s="4"/>
    </row>
    <row r="436" spans="14:14">
      <c r="N436" s="4"/>
    </row>
    <row r="437" spans="14:14">
      <c r="N437" s="4"/>
    </row>
    <row r="438" spans="14:14">
      <c r="N438" s="4"/>
    </row>
    <row r="439" spans="14:14">
      <c r="N439" s="4"/>
    </row>
    <row r="440" spans="14:14">
      <c r="N440" s="4"/>
    </row>
    <row r="441" spans="14:14">
      <c r="N441" s="4"/>
    </row>
    <row r="442" spans="14:14">
      <c r="N442" s="4"/>
    </row>
    <row r="443" spans="14:14">
      <c r="N443" s="4"/>
    </row>
    <row r="444" spans="14:14">
      <c r="N444" s="4"/>
    </row>
    <row r="445" spans="14:14">
      <c r="N445" s="4"/>
    </row>
    <row r="446" spans="14:14">
      <c r="N446" s="4"/>
    </row>
    <row r="447" spans="14:14">
      <c r="N447" s="4"/>
    </row>
    <row r="448" spans="14:14">
      <c r="N448" s="4"/>
    </row>
    <row r="449" spans="14:14">
      <c r="N449" s="4"/>
    </row>
    <row r="450" spans="14:14">
      <c r="N450" s="4"/>
    </row>
    <row r="451" spans="14:14">
      <c r="N451" s="4"/>
    </row>
    <row r="452" spans="14:14">
      <c r="N452" s="4"/>
    </row>
    <row r="453" spans="14:14">
      <c r="N453" s="4"/>
    </row>
    <row r="454" spans="14:14">
      <c r="N454" s="4"/>
    </row>
    <row r="455" spans="14:14">
      <c r="N455" s="4"/>
    </row>
    <row r="456" spans="14:14">
      <c r="N456" s="4"/>
    </row>
    <row r="457" spans="14:14">
      <c r="N457" s="4"/>
    </row>
    <row r="458" spans="14:14">
      <c r="N458" s="4"/>
    </row>
    <row r="459" spans="14:14">
      <c r="N459" s="4"/>
    </row>
    <row r="460" spans="14:14">
      <c r="N460" s="4"/>
    </row>
    <row r="461" spans="14:14">
      <c r="N461" s="4"/>
    </row>
    <row r="462" spans="14:14">
      <c r="N462" s="4"/>
    </row>
    <row r="463" spans="14:14">
      <c r="N463" s="4"/>
    </row>
    <row r="464" spans="14:14">
      <c r="N464" s="4"/>
    </row>
    <row r="465" spans="14:14">
      <c r="N465" s="4"/>
    </row>
    <row r="466" spans="14:14">
      <c r="N466" s="4"/>
    </row>
    <row r="467" spans="14:14">
      <c r="N467" s="4"/>
    </row>
    <row r="468" spans="14:14">
      <c r="N468" s="4"/>
    </row>
    <row r="469" spans="14:14">
      <c r="N469" s="4"/>
    </row>
    <row r="470" spans="14:14">
      <c r="N470" s="4"/>
    </row>
    <row r="471" spans="14:14">
      <c r="N471" s="4"/>
    </row>
    <row r="472" spans="14:14">
      <c r="N472" s="4"/>
    </row>
    <row r="473" spans="14:14">
      <c r="N473" s="4"/>
    </row>
    <row r="474" spans="14:14">
      <c r="N474" s="4"/>
    </row>
    <row r="475" spans="14:14">
      <c r="N475" s="4"/>
    </row>
    <row r="476" spans="14:14">
      <c r="N476" s="4"/>
    </row>
    <row r="477" spans="14:14">
      <c r="N477" s="4"/>
    </row>
    <row r="478" spans="14:14">
      <c r="N478" s="4"/>
    </row>
    <row r="479" spans="14:14">
      <c r="N479" s="4"/>
    </row>
    <row r="480" spans="14:14">
      <c r="N480" s="4"/>
    </row>
    <row r="481" spans="14:14">
      <c r="N481" s="4"/>
    </row>
    <row r="482" spans="14:14">
      <c r="N482" s="4"/>
    </row>
    <row r="483" spans="14:14">
      <c r="N483" s="4"/>
    </row>
    <row r="484" spans="14:14">
      <c r="N484" s="4"/>
    </row>
    <row r="485" spans="14:14">
      <c r="N485" s="4"/>
    </row>
    <row r="486" spans="14:14">
      <c r="N486" s="4"/>
    </row>
    <row r="487" spans="14:14">
      <c r="N487" s="4"/>
    </row>
    <row r="488" spans="14:14">
      <c r="N488" s="4"/>
    </row>
    <row r="489" spans="14:14">
      <c r="N489" s="4"/>
    </row>
    <row r="490" spans="14:14">
      <c r="N490" s="4"/>
    </row>
    <row r="491" spans="14:14">
      <c r="N491" s="4"/>
    </row>
    <row r="492" spans="14:14">
      <c r="N492" s="4"/>
    </row>
    <row r="493" spans="14:14">
      <c r="N493" s="4"/>
    </row>
    <row r="494" spans="14:14">
      <c r="N494" s="4"/>
    </row>
    <row r="495" spans="14:14">
      <c r="N495" s="4"/>
    </row>
    <row r="496" spans="14:14">
      <c r="N496" s="4"/>
    </row>
    <row r="497" spans="14:14">
      <c r="N497" s="4"/>
    </row>
    <row r="498" spans="14:14">
      <c r="N498" s="4"/>
    </row>
    <row r="499" spans="14:14">
      <c r="N499" s="4"/>
    </row>
    <row r="500" spans="14:14">
      <c r="N500" s="4"/>
    </row>
    <row r="501" spans="14:14">
      <c r="N501" s="4"/>
    </row>
    <row r="502" spans="14:14">
      <c r="N502" s="4"/>
    </row>
    <row r="503" spans="14:14">
      <c r="N503" s="4"/>
    </row>
    <row r="504" spans="14:14">
      <c r="N504" s="4"/>
    </row>
    <row r="505" spans="14:14">
      <c r="N505" s="4"/>
    </row>
    <row r="506" spans="14:14">
      <c r="N506" s="4"/>
    </row>
    <row r="507" spans="14:14">
      <c r="N507" s="4"/>
    </row>
    <row r="508" spans="14:14">
      <c r="N508" s="4"/>
    </row>
    <row r="509" spans="14:14">
      <c r="N509" s="4"/>
    </row>
    <row r="510" spans="14:14">
      <c r="N510" s="4"/>
    </row>
    <row r="511" spans="14:14">
      <c r="N511" s="4"/>
    </row>
    <row r="512" spans="14:14">
      <c r="N512" s="4"/>
    </row>
    <row r="513" spans="14:14">
      <c r="N513" s="4"/>
    </row>
    <row r="514" spans="14:14">
      <c r="N514" s="4"/>
    </row>
    <row r="515" spans="14:14">
      <c r="N515" s="4"/>
    </row>
    <row r="516" spans="14:14">
      <c r="N516" s="4"/>
    </row>
    <row r="517" spans="14:14">
      <c r="N517" s="4"/>
    </row>
    <row r="518" spans="14:14">
      <c r="N518" s="4"/>
    </row>
    <row r="519" spans="14:14">
      <c r="N519" s="4"/>
    </row>
    <row r="520" spans="14:14">
      <c r="N520" s="4"/>
    </row>
    <row r="521" spans="14:14">
      <c r="N521" s="4"/>
    </row>
    <row r="522" spans="14:14">
      <c r="N522" s="4"/>
    </row>
    <row r="523" spans="14:14">
      <c r="N523" s="4"/>
    </row>
    <row r="524" spans="14:14">
      <c r="N524" s="4"/>
    </row>
    <row r="525" spans="14:14">
      <c r="N525" s="4"/>
    </row>
    <row r="526" spans="14:14">
      <c r="N526" s="4"/>
    </row>
    <row r="527" spans="14:14">
      <c r="N527" s="4"/>
    </row>
    <row r="528" spans="14:14">
      <c r="N528" s="4"/>
    </row>
    <row r="529" spans="14:14">
      <c r="N529" s="4"/>
    </row>
    <row r="530" spans="14:14">
      <c r="N530" s="4"/>
    </row>
    <row r="531" spans="14:14">
      <c r="N531" s="4"/>
    </row>
    <row r="532" spans="14:14">
      <c r="N532" s="4"/>
    </row>
    <row r="533" spans="14:14">
      <c r="N533" s="4"/>
    </row>
    <row r="534" spans="14:14">
      <c r="N534" s="4"/>
    </row>
    <row r="535" spans="14:14">
      <c r="N535" s="4"/>
    </row>
    <row r="536" spans="14:14">
      <c r="N536" s="4"/>
    </row>
    <row r="537" spans="14:14">
      <c r="N537" s="4"/>
    </row>
    <row r="538" spans="14:14">
      <c r="N538" s="4"/>
    </row>
    <row r="539" spans="14:14">
      <c r="N539" s="4"/>
    </row>
    <row r="540" spans="14:14">
      <c r="N540" s="4"/>
    </row>
    <row r="541" spans="14:14">
      <c r="N541" s="4"/>
    </row>
    <row r="542" spans="14:14">
      <c r="N542" s="4"/>
    </row>
    <row r="543" spans="14:14">
      <c r="N543" s="4"/>
    </row>
    <row r="544" spans="14:14">
      <c r="N544" s="4"/>
    </row>
    <row r="545" spans="14:14">
      <c r="N545" s="4"/>
    </row>
    <row r="546" spans="14:14">
      <c r="N546" s="4"/>
    </row>
    <row r="547" spans="14:14">
      <c r="N547" s="4"/>
    </row>
    <row r="548" spans="14:14">
      <c r="N548" s="4"/>
    </row>
    <row r="549" spans="14:14">
      <c r="N549" s="4"/>
    </row>
    <row r="550" spans="14:14">
      <c r="N550" s="4"/>
    </row>
    <row r="551" spans="14:14">
      <c r="N551" s="4"/>
    </row>
    <row r="552" spans="14:14">
      <c r="N552" s="4"/>
    </row>
    <row r="553" spans="14:14">
      <c r="N553" s="4"/>
    </row>
    <row r="554" spans="14:14">
      <c r="N554" s="4"/>
    </row>
    <row r="555" spans="14:14">
      <c r="N555" s="4"/>
    </row>
    <row r="556" spans="14:14">
      <c r="N556" s="4"/>
    </row>
    <row r="557" spans="14:14">
      <c r="N557" s="4"/>
    </row>
    <row r="558" spans="14:14">
      <c r="N558" s="4"/>
    </row>
    <row r="559" spans="14:14">
      <c r="N559" s="4"/>
    </row>
    <row r="560" spans="14:14">
      <c r="N560" s="4"/>
    </row>
    <row r="561" spans="14:14">
      <c r="N561" s="4"/>
    </row>
    <row r="562" spans="14:14">
      <c r="N562" s="4"/>
    </row>
    <row r="563" spans="14:14">
      <c r="N563" s="4"/>
    </row>
    <row r="564" spans="14:14">
      <c r="N564" s="4"/>
    </row>
    <row r="565" spans="14:14">
      <c r="N565" s="4"/>
    </row>
    <row r="566" spans="14:14">
      <c r="N566" s="4"/>
    </row>
    <row r="567" spans="14:14">
      <c r="N567" s="4"/>
    </row>
    <row r="568" spans="14:14">
      <c r="N568" s="4"/>
    </row>
    <row r="569" spans="14:14">
      <c r="N569" s="4"/>
    </row>
    <row r="570" spans="14:14">
      <c r="N570" s="4"/>
    </row>
    <row r="571" spans="14:14">
      <c r="N571" s="4"/>
    </row>
    <row r="572" spans="14:14">
      <c r="N572" s="4"/>
    </row>
    <row r="573" spans="14:14">
      <c r="N573" s="4"/>
    </row>
    <row r="574" spans="14:14">
      <c r="N574" s="4"/>
    </row>
    <row r="575" spans="14:14">
      <c r="N575" s="4"/>
    </row>
    <row r="576" spans="14:14">
      <c r="N576" s="4"/>
    </row>
    <row r="577" spans="14:14">
      <c r="N577" s="4"/>
    </row>
    <row r="578" spans="14:14">
      <c r="N578" s="4"/>
    </row>
    <row r="579" spans="14:14">
      <c r="N579" s="4"/>
    </row>
    <row r="580" spans="14:14">
      <c r="N580" s="4"/>
    </row>
    <row r="581" spans="14:14">
      <c r="N581" s="4"/>
    </row>
    <row r="582" spans="14:14">
      <c r="N582" s="4"/>
    </row>
    <row r="583" spans="14:14">
      <c r="N583" s="4"/>
    </row>
    <row r="584" spans="14:14">
      <c r="N584" s="4"/>
    </row>
    <row r="585" spans="14:14">
      <c r="N585" s="4"/>
    </row>
    <row r="586" spans="14:14">
      <c r="N586" s="4"/>
    </row>
    <row r="587" spans="14:14">
      <c r="N587" s="4"/>
    </row>
    <row r="588" spans="14:14">
      <c r="N588" s="4"/>
    </row>
    <row r="589" spans="14:14">
      <c r="N589" s="4"/>
    </row>
    <row r="590" spans="14:14">
      <c r="N590" s="4"/>
    </row>
    <row r="591" spans="14:14">
      <c r="N591" s="4"/>
    </row>
    <row r="592" spans="14:14">
      <c r="N592" s="4"/>
    </row>
    <row r="593" spans="14:14">
      <c r="N593" s="4"/>
    </row>
    <row r="594" spans="14:14">
      <c r="N594" s="4"/>
    </row>
    <row r="595" spans="14:14">
      <c r="N595" s="4"/>
    </row>
    <row r="596" spans="14:14">
      <c r="N596" s="4"/>
    </row>
    <row r="597" spans="14:14">
      <c r="N597" s="4"/>
    </row>
    <row r="598" spans="14:14">
      <c r="N598" s="4"/>
    </row>
    <row r="599" spans="14:14">
      <c r="N599" s="4"/>
    </row>
    <row r="600" spans="14:14">
      <c r="N600" s="4"/>
    </row>
    <row r="601" spans="14:14">
      <c r="N601" s="4"/>
    </row>
    <row r="602" spans="14:14">
      <c r="N602" s="4"/>
    </row>
    <row r="603" spans="14:14">
      <c r="N603" s="4"/>
    </row>
    <row r="604" spans="14:14">
      <c r="N604" s="4"/>
    </row>
    <row r="605" spans="14:14">
      <c r="N605" s="4"/>
    </row>
    <row r="606" spans="14:14">
      <c r="N606" s="4"/>
    </row>
    <row r="607" spans="14:14">
      <c r="N607" s="4"/>
    </row>
    <row r="608" spans="14:14">
      <c r="N608" s="4"/>
    </row>
    <row r="609" spans="14:14">
      <c r="N609" s="4"/>
    </row>
    <row r="610" spans="14:14">
      <c r="N610" s="4"/>
    </row>
    <row r="611" spans="14:14">
      <c r="N611" s="4"/>
    </row>
    <row r="612" spans="14:14">
      <c r="N612" s="4"/>
    </row>
    <row r="613" spans="14:14">
      <c r="N613" s="4"/>
    </row>
    <row r="614" spans="14:14">
      <c r="N614" s="4"/>
    </row>
    <row r="615" spans="14:14">
      <c r="N615" s="4"/>
    </row>
    <row r="616" spans="14:14">
      <c r="N616" s="4"/>
    </row>
    <row r="617" spans="14:14">
      <c r="N617" s="4"/>
    </row>
    <row r="618" spans="14:14">
      <c r="N618" s="4"/>
    </row>
    <row r="619" spans="14:14">
      <c r="N619" s="4"/>
    </row>
    <row r="620" spans="14:14">
      <c r="N620" s="4"/>
    </row>
    <row r="621" spans="14:14">
      <c r="N621" s="4"/>
    </row>
    <row r="622" spans="14:14">
      <c r="N622" s="4"/>
    </row>
    <row r="623" spans="14:14">
      <c r="N623" s="4"/>
    </row>
    <row r="624" spans="14:14">
      <c r="N624" s="4"/>
    </row>
    <row r="625" spans="14:14">
      <c r="N625" s="4"/>
    </row>
    <row r="626" spans="14:14">
      <c r="N626" s="4"/>
    </row>
    <row r="627" spans="14:14">
      <c r="N627" s="4"/>
    </row>
    <row r="628" spans="14:14">
      <c r="N628" s="4"/>
    </row>
    <row r="629" spans="14:14">
      <c r="N629" s="4"/>
    </row>
    <row r="630" spans="14:14">
      <c r="N630" s="4"/>
    </row>
    <row r="631" spans="14:14">
      <c r="N631" s="4"/>
    </row>
    <row r="632" spans="14:14">
      <c r="N632" s="4"/>
    </row>
    <row r="633" spans="14:14">
      <c r="N633" s="4"/>
    </row>
    <row r="634" spans="14:14">
      <c r="N634" s="4"/>
    </row>
    <row r="635" spans="14:14">
      <c r="N635" s="4"/>
    </row>
    <row r="636" spans="14:14">
      <c r="N636" s="4"/>
    </row>
    <row r="637" spans="14:14">
      <c r="N637" s="4"/>
    </row>
    <row r="638" spans="14:14">
      <c r="N638" s="4"/>
    </row>
    <row r="639" spans="14:14">
      <c r="N639" s="4"/>
    </row>
    <row r="640" spans="14:14">
      <c r="N640" s="4"/>
    </row>
    <row r="641" spans="14:14">
      <c r="N641" s="4"/>
    </row>
    <row r="642" spans="14:14">
      <c r="N642" s="4"/>
    </row>
    <row r="643" spans="14:14">
      <c r="N643" s="4"/>
    </row>
    <row r="644" spans="14:14">
      <c r="N644" s="4"/>
    </row>
    <row r="645" spans="14:14">
      <c r="N645" s="4"/>
    </row>
    <row r="646" spans="14:14">
      <c r="N646" s="4"/>
    </row>
    <row r="647" spans="14:14">
      <c r="N647" s="4"/>
    </row>
    <row r="648" spans="14:14">
      <c r="N648" s="4"/>
    </row>
    <row r="649" spans="14:14">
      <c r="N649" s="4"/>
    </row>
    <row r="650" spans="14:14">
      <c r="N650" s="4"/>
    </row>
    <row r="651" spans="14:14">
      <c r="N651" s="4"/>
    </row>
    <row r="652" spans="14:14">
      <c r="N652" s="4"/>
    </row>
    <row r="653" spans="14:14">
      <c r="N653" s="4"/>
    </row>
    <row r="654" spans="14:14">
      <c r="N654" s="4"/>
    </row>
    <row r="655" spans="14:14">
      <c r="N655" s="4"/>
    </row>
    <row r="656" spans="14:14">
      <c r="N656" s="4"/>
    </row>
    <row r="657" spans="14:14">
      <c r="N657" s="4"/>
    </row>
    <row r="658" spans="14:14">
      <c r="N658" s="4"/>
    </row>
    <row r="659" spans="14:14">
      <c r="N659" s="4"/>
    </row>
    <row r="660" spans="14:14">
      <c r="N660" s="4"/>
    </row>
    <row r="661" spans="14:14">
      <c r="N661" s="4"/>
    </row>
    <row r="662" spans="14:14">
      <c r="N662" s="4"/>
    </row>
    <row r="663" spans="14:14">
      <c r="N663" s="4"/>
    </row>
    <row r="664" spans="14:14">
      <c r="N664" s="4"/>
    </row>
    <row r="665" spans="14:14">
      <c r="N665" s="4"/>
    </row>
    <row r="666" spans="14:14">
      <c r="N666" s="4"/>
    </row>
    <row r="667" spans="14:14">
      <c r="N667" s="4"/>
    </row>
    <row r="668" spans="14:14">
      <c r="N668" s="4"/>
    </row>
    <row r="669" spans="14:14">
      <c r="N669" s="4"/>
    </row>
    <row r="670" spans="14:14">
      <c r="N670" s="4"/>
    </row>
    <row r="671" spans="14:14">
      <c r="N671" s="4"/>
    </row>
    <row r="672" spans="14:14">
      <c r="N672" s="4"/>
    </row>
    <row r="673" spans="14:14">
      <c r="N673" s="4"/>
    </row>
    <row r="674" spans="14:14">
      <c r="N674" s="4"/>
    </row>
    <row r="675" spans="14:14">
      <c r="N675" s="4"/>
    </row>
    <row r="676" spans="14:14">
      <c r="N676" s="4"/>
    </row>
    <row r="677" spans="14:14">
      <c r="N677" s="4"/>
    </row>
    <row r="678" spans="14:14">
      <c r="N678" s="4"/>
    </row>
    <row r="679" spans="14:14">
      <c r="N679" s="4"/>
    </row>
    <row r="680" spans="14:14">
      <c r="N680" s="4"/>
    </row>
    <row r="681" spans="14:14">
      <c r="N681" s="4"/>
    </row>
    <row r="682" spans="14:14">
      <c r="N682" s="4"/>
    </row>
    <row r="683" spans="14:14">
      <c r="N683" s="4"/>
    </row>
    <row r="684" spans="14:14">
      <c r="N684" s="4"/>
    </row>
    <row r="685" spans="14:14">
      <c r="N685" s="4"/>
    </row>
    <row r="686" spans="14:14">
      <c r="N686" s="4"/>
    </row>
    <row r="687" spans="14:14">
      <c r="N687" s="4"/>
    </row>
    <row r="688" spans="14:14">
      <c r="N688" s="4"/>
    </row>
    <row r="689" spans="14:14">
      <c r="N689" s="4"/>
    </row>
    <row r="690" spans="14:14">
      <c r="N690" s="4"/>
    </row>
    <row r="691" spans="14:14">
      <c r="N691" s="4"/>
    </row>
    <row r="692" spans="14:14">
      <c r="N692" s="4"/>
    </row>
    <row r="693" spans="14:14">
      <c r="N693" s="4"/>
    </row>
    <row r="694" spans="14:14">
      <c r="N694" s="4"/>
    </row>
    <row r="695" spans="14:14">
      <c r="N695" s="4"/>
    </row>
    <row r="696" spans="14:14">
      <c r="N696" s="4"/>
    </row>
    <row r="697" spans="14:14">
      <c r="N697" s="4"/>
    </row>
    <row r="698" spans="14:14">
      <c r="N698" s="4"/>
    </row>
    <row r="699" spans="14:14">
      <c r="N699" s="4"/>
    </row>
    <row r="700" spans="14:14">
      <c r="N700" s="4"/>
    </row>
    <row r="701" spans="14:14">
      <c r="N701" s="4"/>
    </row>
    <row r="702" spans="14:14">
      <c r="N702" s="4"/>
    </row>
    <row r="703" spans="14:14">
      <c r="N703" s="4"/>
    </row>
    <row r="704" spans="14:14">
      <c r="N704" s="4"/>
    </row>
    <row r="705" spans="14:14">
      <c r="N705" s="4"/>
    </row>
    <row r="706" spans="14:14">
      <c r="N706" s="4"/>
    </row>
    <row r="707" spans="14:14">
      <c r="N707" s="4"/>
    </row>
    <row r="708" spans="14:14">
      <c r="N708" s="4"/>
    </row>
    <row r="709" spans="14:14">
      <c r="N709" s="4"/>
    </row>
    <row r="710" spans="14:14">
      <c r="N710" s="4"/>
    </row>
    <row r="711" spans="14:14">
      <c r="N711" s="4"/>
    </row>
    <row r="712" spans="14:14">
      <c r="N712" s="4"/>
    </row>
    <row r="713" spans="14:14">
      <c r="N713" s="4"/>
    </row>
    <row r="714" spans="14:14">
      <c r="N714" s="4"/>
    </row>
    <row r="715" spans="14:14">
      <c r="N715" s="4"/>
    </row>
    <row r="716" spans="14:14">
      <c r="N716" s="4"/>
    </row>
    <row r="717" spans="14:14">
      <c r="N717" s="4"/>
    </row>
    <row r="718" spans="14:14">
      <c r="N718" s="4"/>
    </row>
    <row r="719" spans="14:14">
      <c r="N719" s="4"/>
    </row>
    <row r="720" spans="14:14">
      <c r="N720" s="4"/>
    </row>
    <row r="721" spans="14:14">
      <c r="N721" s="4"/>
    </row>
    <row r="722" spans="14:14">
      <c r="N722" s="4"/>
    </row>
    <row r="723" spans="14:14">
      <c r="N723" s="4"/>
    </row>
    <row r="724" spans="14:14">
      <c r="N724" s="4"/>
    </row>
    <row r="725" spans="14:14">
      <c r="N725" s="4"/>
    </row>
    <row r="726" spans="14:14">
      <c r="N726" s="4"/>
    </row>
    <row r="727" spans="14:14">
      <c r="N727" s="4"/>
    </row>
    <row r="728" spans="14:14">
      <c r="N728" s="4"/>
    </row>
    <row r="729" spans="14:14">
      <c r="N729" s="4"/>
    </row>
    <row r="730" spans="14:14">
      <c r="N730" s="4"/>
    </row>
    <row r="731" spans="14:14">
      <c r="N731" s="4"/>
    </row>
    <row r="732" spans="14:14">
      <c r="N732" s="4"/>
    </row>
    <row r="733" spans="14:14">
      <c r="N733" s="4"/>
    </row>
    <row r="734" spans="14:14">
      <c r="N734" s="4"/>
    </row>
    <row r="735" spans="14:14">
      <c r="N735" s="4"/>
    </row>
    <row r="736" spans="14:14">
      <c r="N736" s="4"/>
    </row>
    <row r="737" spans="14:14">
      <c r="N737" s="4"/>
    </row>
    <row r="738" spans="14:14">
      <c r="N738" s="4"/>
    </row>
    <row r="739" spans="14:14">
      <c r="N739" s="4"/>
    </row>
    <row r="740" spans="14:14">
      <c r="N740" s="4"/>
    </row>
    <row r="741" spans="14:14">
      <c r="N741" s="4"/>
    </row>
    <row r="742" spans="14:14">
      <c r="N742" s="4"/>
    </row>
    <row r="743" spans="14:14">
      <c r="N743" s="4"/>
    </row>
    <row r="744" spans="14:14">
      <c r="N744" s="4"/>
    </row>
    <row r="745" spans="14:14">
      <c r="N745" s="4"/>
    </row>
    <row r="746" spans="14:14">
      <c r="N746" s="4"/>
    </row>
    <row r="747" spans="14:14">
      <c r="N747" s="4"/>
    </row>
    <row r="748" spans="14:14">
      <c r="N748" s="4"/>
    </row>
    <row r="749" spans="14:14">
      <c r="N749" s="4"/>
    </row>
    <row r="750" spans="14:14">
      <c r="N750" s="4"/>
    </row>
    <row r="751" spans="14:14">
      <c r="N751" s="4"/>
    </row>
    <row r="752" spans="14:14">
      <c r="N752" s="4"/>
    </row>
    <row r="753" spans="14:14">
      <c r="N753" s="4"/>
    </row>
    <row r="754" spans="14:14">
      <c r="N754" s="4"/>
    </row>
    <row r="755" spans="14:14">
      <c r="N755" s="4"/>
    </row>
    <row r="756" spans="14:14">
      <c r="N756" s="4"/>
    </row>
    <row r="757" spans="14:14">
      <c r="N757" s="4"/>
    </row>
    <row r="758" spans="14:14">
      <c r="N758" s="4"/>
    </row>
    <row r="759" spans="14:14">
      <c r="N759" s="4"/>
    </row>
    <row r="760" spans="14:14">
      <c r="N760" s="4"/>
    </row>
    <row r="761" spans="14:14">
      <c r="N761" s="4"/>
    </row>
    <row r="762" spans="14:14">
      <c r="N762" s="4"/>
    </row>
    <row r="763" spans="14:14">
      <c r="N763" s="4"/>
    </row>
    <row r="764" spans="14:14">
      <c r="N764" s="4"/>
    </row>
    <row r="765" spans="14:14">
      <c r="N765" s="4"/>
    </row>
    <row r="766" spans="14:14">
      <c r="N766" s="4"/>
    </row>
    <row r="767" spans="14:14">
      <c r="N767" s="4"/>
    </row>
    <row r="768" spans="14:14">
      <c r="N768" s="4"/>
    </row>
    <row r="769" spans="14:14">
      <c r="N769" s="4"/>
    </row>
    <row r="770" spans="14:14">
      <c r="N770" s="4"/>
    </row>
    <row r="771" spans="14:14">
      <c r="N771" s="4"/>
    </row>
    <row r="772" spans="14:14">
      <c r="N772" s="4"/>
    </row>
    <row r="773" spans="14:14">
      <c r="N773" s="4"/>
    </row>
    <row r="774" spans="14:14">
      <c r="N774" s="4"/>
    </row>
    <row r="775" spans="14:14">
      <c r="N775" s="4"/>
    </row>
    <row r="776" spans="14:14">
      <c r="N776" s="4"/>
    </row>
    <row r="777" spans="14:14">
      <c r="N777" s="4"/>
    </row>
    <row r="778" spans="14:14">
      <c r="N778" s="4"/>
    </row>
    <row r="779" spans="14:14">
      <c r="N779" s="4"/>
    </row>
    <row r="780" spans="14:14">
      <c r="N780" s="4"/>
    </row>
    <row r="781" spans="14:14">
      <c r="N781" s="4"/>
    </row>
    <row r="782" spans="14:14">
      <c r="N782" s="4"/>
    </row>
    <row r="783" spans="14:14">
      <c r="N783" s="4"/>
    </row>
    <row r="784" spans="14:14">
      <c r="N784" s="4"/>
    </row>
    <row r="785" spans="14:14">
      <c r="N785" s="4"/>
    </row>
    <row r="786" spans="14:14">
      <c r="N786" s="4"/>
    </row>
    <row r="787" spans="14:14">
      <c r="N787" s="4"/>
    </row>
    <row r="788" spans="14:14">
      <c r="N788" s="4"/>
    </row>
    <row r="789" spans="14:14">
      <c r="N789" s="4"/>
    </row>
    <row r="790" spans="14:14">
      <c r="N790" s="4"/>
    </row>
    <row r="791" spans="14:14">
      <c r="N791" s="4"/>
    </row>
    <row r="792" spans="14:14">
      <c r="N792" s="4"/>
    </row>
    <row r="793" spans="14:14">
      <c r="N793" s="4"/>
    </row>
    <row r="794" spans="14:14">
      <c r="N794" s="4"/>
    </row>
    <row r="795" spans="14:14">
      <c r="N795" s="4"/>
    </row>
    <row r="796" spans="14:14">
      <c r="N796" s="4"/>
    </row>
    <row r="797" spans="14:14">
      <c r="N797" s="4"/>
    </row>
    <row r="798" spans="14:14">
      <c r="N798" s="4"/>
    </row>
    <row r="799" spans="14:14">
      <c r="N799" s="4"/>
    </row>
    <row r="800" spans="14:14">
      <c r="N800" s="4"/>
    </row>
    <row r="801" spans="14:14">
      <c r="N801" s="4"/>
    </row>
    <row r="802" spans="14:14">
      <c r="N802" s="4"/>
    </row>
    <row r="803" spans="14:14">
      <c r="N803" s="4"/>
    </row>
    <row r="804" spans="14:14">
      <c r="N804" s="4"/>
    </row>
    <row r="805" spans="14:14">
      <c r="N805" s="4"/>
    </row>
    <row r="806" spans="14:14">
      <c r="N806" s="4"/>
    </row>
    <row r="807" spans="14:14">
      <c r="N807" s="4"/>
    </row>
    <row r="808" spans="14:14">
      <c r="N808" s="4"/>
    </row>
    <row r="809" spans="14:14">
      <c r="N809" s="4"/>
    </row>
    <row r="810" spans="14:14">
      <c r="N810" s="4"/>
    </row>
    <row r="811" spans="14:14">
      <c r="N811" s="4"/>
    </row>
    <row r="812" spans="14:14">
      <c r="N812" s="4"/>
    </row>
    <row r="813" spans="14:14">
      <c r="N813" s="4"/>
    </row>
    <row r="814" spans="14:14">
      <c r="N814" s="4"/>
    </row>
    <row r="815" spans="14:14">
      <c r="N815" s="4"/>
    </row>
    <row r="816" spans="14:14">
      <c r="N816" s="4"/>
    </row>
    <row r="817" spans="14:14">
      <c r="N817" s="4"/>
    </row>
    <row r="818" spans="14:14">
      <c r="N818" s="4"/>
    </row>
    <row r="819" spans="14:14">
      <c r="N819" s="4"/>
    </row>
    <row r="820" spans="14:14">
      <c r="N820" s="4"/>
    </row>
    <row r="821" spans="14:14">
      <c r="N821" s="4"/>
    </row>
    <row r="822" spans="14:14">
      <c r="N822" s="4"/>
    </row>
    <row r="823" spans="14:14">
      <c r="N823" s="4"/>
    </row>
    <row r="824" spans="14:14">
      <c r="N824" s="4"/>
    </row>
    <row r="825" spans="14:14">
      <c r="N825" s="4"/>
    </row>
    <row r="826" spans="14:14">
      <c r="N826" s="4"/>
    </row>
    <row r="827" spans="14:14">
      <c r="N827" s="4"/>
    </row>
    <row r="828" spans="14:14">
      <c r="N828" s="4"/>
    </row>
    <row r="829" spans="14:14">
      <c r="N829" s="4"/>
    </row>
    <row r="830" spans="14:14">
      <c r="N830" s="4"/>
    </row>
    <row r="831" spans="14:14">
      <c r="N831" s="4"/>
    </row>
    <row r="832" spans="14:14">
      <c r="N832" s="4"/>
    </row>
    <row r="833" spans="14:14">
      <c r="N833" s="4"/>
    </row>
    <row r="834" spans="14:14">
      <c r="N834" s="4"/>
    </row>
    <row r="835" spans="14:14">
      <c r="N835" s="4"/>
    </row>
    <row r="836" spans="14:14">
      <c r="N836" s="4"/>
    </row>
    <row r="837" spans="14:14">
      <c r="N837" s="4"/>
    </row>
    <row r="838" spans="14:14">
      <c r="N838" s="4"/>
    </row>
    <row r="839" spans="14:14">
      <c r="N839" s="4"/>
    </row>
    <row r="840" spans="14:14">
      <c r="N840" s="4"/>
    </row>
    <row r="841" spans="14:14">
      <c r="N841" s="4"/>
    </row>
    <row r="842" spans="14:14">
      <c r="N842" s="4"/>
    </row>
    <row r="843" spans="14:14">
      <c r="N843" s="4"/>
    </row>
    <row r="844" spans="14:14">
      <c r="N844" s="4"/>
    </row>
    <row r="845" spans="14:14">
      <c r="N845" s="4"/>
    </row>
    <row r="846" spans="14:14">
      <c r="N846" s="4"/>
    </row>
    <row r="847" spans="14:14">
      <c r="N847" s="4"/>
    </row>
    <row r="848" spans="14:14">
      <c r="N848" s="4"/>
    </row>
    <row r="849" spans="14:14">
      <c r="N849" s="4"/>
    </row>
    <row r="850" spans="14:14">
      <c r="N850" s="4"/>
    </row>
    <row r="851" spans="14:14">
      <c r="N851" s="4"/>
    </row>
    <row r="852" spans="14:14">
      <c r="N852" s="4"/>
    </row>
    <row r="853" spans="14:14">
      <c r="N853" s="4"/>
    </row>
    <row r="854" spans="14:14">
      <c r="N854" s="4"/>
    </row>
    <row r="855" spans="14:14">
      <c r="N855" s="4"/>
    </row>
    <row r="856" spans="14:14">
      <c r="N856" s="4"/>
    </row>
    <row r="857" spans="14:14">
      <c r="N857" s="4"/>
    </row>
    <row r="858" spans="14:14">
      <c r="N858" s="4"/>
    </row>
    <row r="859" spans="14:14">
      <c r="N859" s="4"/>
    </row>
    <row r="860" spans="14:14">
      <c r="N860" s="4"/>
    </row>
    <row r="861" spans="14:14">
      <c r="N861" s="4"/>
    </row>
    <row r="862" spans="14:14">
      <c r="N862" s="4"/>
    </row>
    <row r="863" spans="14:14">
      <c r="N863" s="4"/>
    </row>
    <row r="864" spans="14:14">
      <c r="N864" s="4"/>
    </row>
    <row r="865" spans="14:14">
      <c r="N865" s="4"/>
    </row>
    <row r="866" spans="14:14">
      <c r="N866" s="4"/>
    </row>
    <row r="867" spans="14:14">
      <c r="N867" s="4"/>
    </row>
    <row r="868" spans="14:14">
      <c r="N868" s="4"/>
    </row>
    <row r="869" spans="14:14">
      <c r="N869" s="4"/>
    </row>
    <row r="870" spans="14:14">
      <c r="N870" s="4"/>
    </row>
    <row r="871" spans="14:14">
      <c r="N871" s="4"/>
    </row>
    <row r="872" spans="14:14">
      <c r="N872" s="4"/>
    </row>
    <row r="873" spans="14:14">
      <c r="N873" s="4"/>
    </row>
    <row r="874" spans="14:14">
      <c r="N874" s="4"/>
    </row>
    <row r="875" spans="14:14">
      <c r="N875" s="4"/>
    </row>
    <row r="876" spans="14:14">
      <c r="N876" s="4"/>
    </row>
    <row r="877" spans="14:14">
      <c r="N877" s="4"/>
    </row>
    <row r="878" spans="14:14">
      <c r="N878" s="4"/>
    </row>
    <row r="879" spans="14:14">
      <c r="N879" s="4"/>
    </row>
    <row r="880" spans="14:14">
      <c r="N880" s="4"/>
    </row>
    <row r="881" spans="14:14">
      <c r="N881" s="4"/>
    </row>
    <row r="882" spans="14:14">
      <c r="N882" s="4"/>
    </row>
    <row r="883" spans="14:14">
      <c r="N883" s="4"/>
    </row>
    <row r="884" spans="14:14">
      <c r="N884" s="4"/>
    </row>
    <row r="885" spans="14:14">
      <c r="N885" s="4"/>
    </row>
    <row r="886" spans="14:14">
      <c r="N886" s="4"/>
    </row>
    <row r="887" spans="14:14">
      <c r="N887" s="4"/>
    </row>
    <row r="888" spans="14:14">
      <c r="N888" s="4"/>
    </row>
    <row r="889" spans="14:14">
      <c r="N889" s="4"/>
    </row>
    <row r="890" spans="14:14">
      <c r="N890" s="4"/>
    </row>
    <row r="891" spans="14:14">
      <c r="N891" s="4"/>
    </row>
    <row r="892" spans="14:14">
      <c r="N892" s="4"/>
    </row>
    <row r="893" spans="14:14">
      <c r="N893" s="4"/>
    </row>
    <row r="894" spans="14:14">
      <c r="N894" s="4"/>
    </row>
    <row r="895" spans="14:14">
      <c r="N895" s="4"/>
    </row>
    <row r="896" spans="14:14">
      <c r="N896" s="4"/>
    </row>
    <row r="897" spans="14:14">
      <c r="N897" s="4"/>
    </row>
    <row r="898" spans="14:14">
      <c r="N898" s="4"/>
    </row>
    <row r="899" spans="14:14">
      <c r="N899" s="4"/>
    </row>
    <row r="900" spans="14:14">
      <c r="N900" s="4"/>
    </row>
    <row r="901" spans="14:14">
      <c r="N901" s="4"/>
    </row>
    <row r="902" spans="14:14">
      <c r="N902" s="4"/>
    </row>
    <row r="903" spans="14:14">
      <c r="N903" s="4"/>
    </row>
    <row r="904" spans="14:14">
      <c r="N904" s="4"/>
    </row>
    <row r="905" spans="14:14">
      <c r="N905" s="4"/>
    </row>
    <row r="906" spans="14:14">
      <c r="N906" s="4"/>
    </row>
    <row r="907" spans="14:14">
      <c r="N907" s="4"/>
    </row>
    <row r="908" spans="14:14">
      <c r="N908" s="4"/>
    </row>
    <row r="909" spans="14:14">
      <c r="N909" s="4"/>
    </row>
    <row r="910" spans="14:14">
      <c r="N910" s="4"/>
    </row>
    <row r="911" spans="14:14">
      <c r="N911" s="4"/>
    </row>
    <row r="912" spans="14:14">
      <c r="N912" s="4"/>
    </row>
    <row r="913" spans="14:14">
      <c r="N913" s="4"/>
    </row>
    <row r="914" spans="14:14">
      <c r="N914" s="4"/>
    </row>
    <row r="915" spans="14:14">
      <c r="N915" s="4"/>
    </row>
    <row r="916" spans="14:14">
      <c r="N916" s="4"/>
    </row>
    <row r="917" spans="14:14">
      <c r="N917" s="4"/>
    </row>
    <row r="918" spans="14:14">
      <c r="N918" s="4"/>
    </row>
    <row r="919" spans="14:14">
      <c r="N919" s="4"/>
    </row>
    <row r="920" spans="14:14">
      <c r="N920" s="4"/>
    </row>
    <row r="921" spans="14:14">
      <c r="N921" s="4"/>
    </row>
    <row r="922" spans="14:14">
      <c r="N922" s="4"/>
    </row>
    <row r="923" spans="14:14">
      <c r="N923" s="4"/>
    </row>
    <row r="924" spans="14:14">
      <c r="N924" s="4"/>
    </row>
    <row r="925" spans="14:14">
      <c r="N925" s="4"/>
    </row>
    <row r="926" spans="14:14">
      <c r="N926" s="4"/>
    </row>
    <row r="927" spans="14:14">
      <c r="N927" s="4"/>
    </row>
    <row r="928" spans="14:14">
      <c r="N928" s="4"/>
    </row>
    <row r="929" spans="14:14">
      <c r="N929" s="4"/>
    </row>
    <row r="930" spans="14:14">
      <c r="N930" s="4"/>
    </row>
    <row r="931" spans="14:14">
      <c r="N931" s="4"/>
    </row>
    <row r="932" spans="14:14">
      <c r="N932" s="4"/>
    </row>
    <row r="933" spans="14:14">
      <c r="N933" s="4"/>
    </row>
    <row r="934" spans="14:14">
      <c r="N934" s="4"/>
    </row>
    <row r="935" spans="14:14">
      <c r="N935" s="4"/>
    </row>
    <row r="936" spans="14:14">
      <c r="N936" s="4"/>
    </row>
    <row r="937" spans="14:14">
      <c r="N937" s="4"/>
    </row>
    <row r="938" spans="14:14">
      <c r="N938" s="4"/>
    </row>
    <row r="939" spans="14:14">
      <c r="N939" s="4"/>
    </row>
    <row r="940" spans="14:14">
      <c r="N940" s="4"/>
    </row>
    <row r="941" spans="14:14">
      <c r="N941" s="4"/>
    </row>
    <row r="942" spans="14:14">
      <c r="N942" s="4"/>
    </row>
    <row r="943" spans="14:14">
      <c r="N943" s="4"/>
    </row>
    <row r="944" spans="14:14">
      <c r="N944" s="4"/>
    </row>
    <row r="945" spans="14:14">
      <c r="N945" s="4"/>
    </row>
    <row r="946" spans="14:14">
      <c r="N946" s="4"/>
    </row>
    <row r="947" spans="14:14">
      <c r="N947" s="4"/>
    </row>
    <row r="948" spans="14:14">
      <c r="N948" s="4"/>
    </row>
    <row r="949" spans="14:14">
      <c r="N949" s="4"/>
    </row>
    <row r="950" spans="14:14">
      <c r="N950" s="4"/>
    </row>
    <row r="951" spans="14:14">
      <c r="N951" s="4"/>
    </row>
    <row r="952" spans="14:14">
      <c r="N952" s="4"/>
    </row>
    <row r="953" spans="14:14">
      <c r="N953" s="4"/>
    </row>
    <row r="954" spans="14:14">
      <c r="N954" s="4"/>
    </row>
    <row r="955" spans="14:14">
      <c r="N955" s="4"/>
    </row>
    <row r="956" spans="14:14">
      <c r="N956" s="4"/>
    </row>
    <row r="957" spans="14:14">
      <c r="N957" s="4"/>
    </row>
    <row r="958" spans="14:14">
      <c r="N958" s="4"/>
    </row>
    <row r="959" spans="14:14">
      <c r="N959" s="4"/>
    </row>
    <row r="960" spans="14:14">
      <c r="N960" s="4"/>
    </row>
    <row r="961" spans="14:14">
      <c r="N961" s="4"/>
    </row>
    <row r="962" spans="14:14">
      <c r="N962" s="4"/>
    </row>
    <row r="963" spans="14:14">
      <c r="N963" s="4"/>
    </row>
    <row r="964" spans="14:14">
      <c r="N964" s="4"/>
    </row>
    <row r="965" spans="14:14">
      <c r="N965" s="4"/>
    </row>
    <row r="966" spans="14:14">
      <c r="N966" s="4"/>
    </row>
    <row r="967" spans="14:14">
      <c r="N967" s="4"/>
    </row>
    <row r="968" spans="14:14">
      <c r="N968" s="4"/>
    </row>
    <row r="969" spans="14:14">
      <c r="N969" s="4"/>
    </row>
    <row r="970" spans="14:14">
      <c r="N970" s="4"/>
    </row>
    <row r="971" spans="14:14">
      <c r="N971" s="4"/>
    </row>
    <row r="972" spans="14:14">
      <c r="N972" s="4"/>
    </row>
    <row r="973" spans="14:14">
      <c r="N973" s="4"/>
    </row>
    <row r="974" spans="14:14">
      <c r="N974" s="4"/>
    </row>
    <row r="975" spans="14:14">
      <c r="N975" s="4"/>
    </row>
    <row r="976" spans="14:14">
      <c r="N976" s="4"/>
    </row>
    <row r="977" spans="14:14">
      <c r="N977" s="4"/>
    </row>
    <row r="978" spans="14:14">
      <c r="N978" s="4"/>
    </row>
    <row r="979" spans="14:14">
      <c r="N979" s="4"/>
    </row>
    <row r="980" spans="14:14">
      <c r="N980" s="4"/>
    </row>
    <row r="981" spans="14:14">
      <c r="N981" s="4"/>
    </row>
    <row r="982" spans="14:14">
      <c r="N982" s="4"/>
    </row>
    <row r="983" spans="14:14">
      <c r="N983" s="4"/>
    </row>
    <row r="984" spans="14:14">
      <c r="N984" s="4"/>
    </row>
    <row r="985" spans="14:14">
      <c r="N985" s="4"/>
    </row>
    <row r="986" spans="14:14">
      <c r="N986" s="4"/>
    </row>
    <row r="987" spans="14:14">
      <c r="N987" s="4"/>
    </row>
    <row r="988" spans="14:14">
      <c r="N988" s="4"/>
    </row>
    <row r="989" spans="14:14">
      <c r="N989" s="4"/>
    </row>
    <row r="990" spans="14:14">
      <c r="N990" s="4"/>
    </row>
    <row r="991" spans="14:14">
      <c r="N991" s="4"/>
    </row>
    <row r="992" spans="14:14">
      <c r="N992" s="4"/>
    </row>
    <row r="993" spans="14:14">
      <c r="N993" s="4"/>
    </row>
    <row r="994" spans="14:14">
      <c r="N994" s="4"/>
    </row>
    <row r="995" spans="14:14">
      <c r="N995" s="4"/>
    </row>
    <row r="996" spans="14:14">
      <c r="N996" s="4"/>
    </row>
    <row r="997" spans="14:14">
      <c r="N997" s="4"/>
    </row>
    <row r="998" spans="14:14">
      <c r="N998" s="4"/>
    </row>
    <row r="999" spans="14:14">
      <c r="N999" s="4"/>
    </row>
    <row r="1000" spans="14:14">
      <c r="N1000" s="4"/>
    </row>
    <row r="1001" spans="14:14">
      <c r="N1001" s="4"/>
    </row>
    <row r="1002" spans="14:14">
      <c r="N1002" s="4"/>
    </row>
    <row r="1003" spans="14:14">
      <c r="N1003" s="4"/>
    </row>
    <row r="1004" spans="14:14">
      <c r="N1004" s="4"/>
    </row>
    <row r="1005" spans="14:14">
      <c r="N1005" s="4"/>
    </row>
    <row r="1006" spans="14:14">
      <c r="N1006" s="4"/>
    </row>
    <row r="1007" spans="14:14">
      <c r="N1007" s="4"/>
    </row>
    <row r="1008" spans="14:14">
      <c r="N1008" s="4"/>
    </row>
    <row r="1009" spans="14:14">
      <c r="N1009" s="4"/>
    </row>
    <row r="1010" spans="14:14">
      <c r="N1010" s="4"/>
    </row>
    <row r="1011" spans="14:14">
      <c r="N1011" s="4"/>
    </row>
    <row r="1012" spans="14:14">
      <c r="N1012" s="4"/>
    </row>
    <row r="1013" spans="14:14">
      <c r="N1013" s="4"/>
    </row>
    <row r="1014" spans="14:14">
      <c r="N1014" s="4"/>
    </row>
    <row r="1015" spans="14:14">
      <c r="N1015" s="4"/>
    </row>
    <row r="1016" spans="14:14">
      <c r="N1016" s="4"/>
    </row>
    <row r="1017" spans="14:14">
      <c r="N1017" s="4"/>
    </row>
    <row r="1018" spans="14:14">
      <c r="N1018" s="4"/>
    </row>
    <row r="1019" spans="14:14">
      <c r="N1019" s="4"/>
    </row>
    <row r="1020" spans="14:14">
      <c r="N1020" s="4"/>
    </row>
    <row r="1021" spans="14:14">
      <c r="N1021" s="4"/>
    </row>
    <row r="1022" spans="14:14">
      <c r="N1022" s="4"/>
    </row>
    <row r="1023" spans="14:14">
      <c r="N1023" s="4"/>
    </row>
    <row r="1024" spans="14:14">
      <c r="N1024" s="4"/>
    </row>
    <row r="1025" spans="14:14">
      <c r="N1025" s="4"/>
    </row>
    <row r="1026" spans="14:14">
      <c r="N1026" s="4"/>
    </row>
    <row r="1027" spans="14:14">
      <c r="N1027" s="4"/>
    </row>
    <row r="1028" spans="14:14">
      <c r="N1028" s="4"/>
    </row>
    <row r="1029" spans="14:14">
      <c r="N1029" s="4"/>
    </row>
    <row r="1030" spans="14:14">
      <c r="N1030" s="4"/>
    </row>
    <row r="1031" spans="14:14">
      <c r="N1031" s="4"/>
    </row>
    <row r="1032" spans="14:14">
      <c r="N1032" s="4"/>
    </row>
    <row r="1033" spans="14:14">
      <c r="N1033" s="4"/>
    </row>
    <row r="1034" spans="14:14">
      <c r="N1034" s="4"/>
    </row>
    <row r="1035" spans="14:14">
      <c r="N1035" s="4"/>
    </row>
    <row r="1036" spans="14:14">
      <c r="N1036" s="4"/>
    </row>
    <row r="1037" spans="14:14">
      <c r="N1037" s="4"/>
    </row>
    <row r="1038" spans="14:14">
      <c r="N1038" s="4"/>
    </row>
    <row r="1039" spans="14:14">
      <c r="N1039" s="4"/>
    </row>
    <row r="1040" spans="14:14">
      <c r="N1040" s="4"/>
    </row>
    <row r="1041" spans="14:14">
      <c r="N1041" s="4"/>
    </row>
    <row r="1042" spans="14:14">
      <c r="N1042" s="4"/>
    </row>
    <row r="1043" spans="14:14">
      <c r="N1043" s="4"/>
    </row>
    <row r="1044" spans="14:14">
      <c r="N1044" s="4"/>
    </row>
    <row r="1045" spans="14:14">
      <c r="N1045" s="4"/>
    </row>
    <row r="1046" spans="14:14">
      <c r="N1046" s="4"/>
    </row>
    <row r="1047" spans="14:14">
      <c r="N1047" s="4"/>
    </row>
    <row r="1048" spans="14:14">
      <c r="N1048" s="4"/>
    </row>
    <row r="1049" spans="14:14">
      <c r="N1049" s="4"/>
    </row>
    <row r="1050" spans="14:14">
      <c r="N1050" s="4"/>
    </row>
    <row r="1051" spans="14:14">
      <c r="N1051" s="4"/>
    </row>
    <row r="1052" spans="14:14">
      <c r="N1052" s="4"/>
    </row>
    <row r="1053" spans="14:14">
      <c r="N1053" s="4"/>
    </row>
    <row r="1054" spans="14:14">
      <c r="N1054" s="4"/>
    </row>
    <row r="1055" spans="14:14">
      <c r="N1055" s="4"/>
    </row>
    <row r="1056" spans="14:14">
      <c r="N1056" s="4"/>
    </row>
    <row r="1057" spans="14:14">
      <c r="N1057" s="4"/>
    </row>
    <row r="1058" spans="14:14">
      <c r="N1058" s="4"/>
    </row>
    <row r="1059" spans="14:14">
      <c r="N1059" s="4"/>
    </row>
    <row r="1060" spans="14:14">
      <c r="N1060" s="4"/>
    </row>
    <row r="1061" spans="14:14">
      <c r="N1061" s="4"/>
    </row>
    <row r="1062" spans="14:14">
      <c r="N1062" s="4"/>
    </row>
    <row r="1063" spans="14:14">
      <c r="N1063" s="4"/>
    </row>
    <row r="1064" spans="14:14">
      <c r="N1064" s="4"/>
    </row>
    <row r="1065" spans="14:14">
      <c r="N1065" s="4"/>
    </row>
    <row r="1066" spans="14:14">
      <c r="N1066" s="4"/>
    </row>
    <row r="1067" spans="14:14">
      <c r="N1067" s="4"/>
    </row>
    <row r="1068" spans="14:14">
      <c r="N1068" s="4"/>
    </row>
    <row r="1069" spans="14:14">
      <c r="N1069" s="4"/>
    </row>
    <row r="1070" spans="14:14">
      <c r="N1070" s="4"/>
    </row>
    <row r="1071" spans="14:14">
      <c r="N1071" s="4"/>
    </row>
    <row r="1072" spans="14:14">
      <c r="N1072" s="4"/>
    </row>
    <row r="1073" spans="14:14">
      <c r="N1073" s="4"/>
    </row>
    <row r="1074" spans="14:14">
      <c r="N1074" s="4"/>
    </row>
    <row r="1075" spans="14:14">
      <c r="N1075" s="4"/>
    </row>
    <row r="1076" spans="14:14">
      <c r="N1076" s="4"/>
    </row>
    <row r="1077" spans="14:14">
      <c r="N1077" s="4"/>
    </row>
    <row r="1078" spans="14:14">
      <c r="N1078" s="4"/>
    </row>
    <row r="1079" spans="14:14">
      <c r="N1079" s="4"/>
    </row>
    <row r="1080" spans="14:14">
      <c r="N1080" s="4"/>
    </row>
    <row r="1081" spans="14:14">
      <c r="N1081" s="4"/>
    </row>
    <row r="1082" spans="14:14">
      <c r="N1082" s="4"/>
    </row>
    <row r="1083" spans="14:14">
      <c r="N1083" s="4"/>
    </row>
    <row r="1084" spans="14:14">
      <c r="N1084" s="4"/>
    </row>
    <row r="1085" spans="14:14">
      <c r="N1085" s="4"/>
    </row>
    <row r="1086" spans="14:14">
      <c r="N1086" s="4"/>
    </row>
    <row r="1087" spans="14:14">
      <c r="N1087" s="4"/>
    </row>
    <row r="1088" spans="14:14">
      <c r="N1088" s="4"/>
    </row>
    <row r="1089" spans="14:14">
      <c r="N1089" s="4"/>
    </row>
    <row r="1090" spans="14:14">
      <c r="N1090" s="4"/>
    </row>
    <row r="1091" spans="14:14">
      <c r="N1091" s="4"/>
    </row>
    <row r="1092" spans="14:14">
      <c r="N1092" s="4"/>
    </row>
    <row r="1093" spans="14:14">
      <c r="N1093" s="4"/>
    </row>
    <row r="1094" spans="14:14">
      <c r="N1094" s="4"/>
    </row>
    <row r="1095" spans="14:14">
      <c r="N1095" s="4"/>
    </row>
    <row r="1096" spans="14:14">
      <c r="N1096" s="4"/>
    </row>
    <row r="1097" spans="14:14">
      <c r="N1097" s="4"/>
    </row>
    <row r="1098" spans="14:14">
      <c r="N1098" s="4"/>
    </row>
    <row r="1099" spans="14:14">
      <c r="N1099" s="4"/>
    </row>
    <row r="1100" spans="14:14">
      <c r="N1100" s="4"/>
    </row>
    <row r="1101" spans="14:14">
      <c r="N1101" s="4"/>
    </row>
    <row r="1102" spans="14:14">
      <c r="N1102" s="4"/>
    </row>
    <row r="1103" spans="14:14">
      <c r="N1103" s="4"/>
    </row>
    <row r="1104" spans="14:14">
      <c r="N1104" s="4"/>
    </row>
    <row r="1105" spans="14:14">
      <c r="N1105" s="4"/>
    </row>
    <row r="1106" spans="14:14">
      <c r="N1106" s="4"/>
    </row>
    <row r="1107" spans="14:14">
      <c r="N1107" s="4"/>
    </row>
    <row r="1108" spans="14:14">
      <c r="N1108" s="4"/>
    </row>
    <row r="1109" spans="14:14">
      <c r="N1109" s="4"/>
    </row>
    <row r="1110" spans="14:14">
      <c r="N1110" s="4"/>
    </row>
    <row r="1111" spans="14:14">
      <c r="N1111" s="4"/>
    </row>
    <row r="1112" spans="14:14">
      <c r="N1112" s="4"/>
    </row>
    <row r="1113" spans="14:14">
      <c r="N1113" s="4"/>
    </row>
    <row r="1114" spans="14:14">
      <c r="N1114" s="4"/>
    </row>
    <row r="1115" spans="14:14">
      <c r="N1115" s="4"/>
    </row>
    <row r="1116" spans="14:14">
      <c r="N1116" s="4"/>
    </row>
    <row r="1117" spans="14:14">
      <c r="N1117" s="4"/>
    </row>
    <row r="1118" spans="14:14">
      <c r="N1118" s="4"/>
    </row>
    <row r="1119" spans="14:14">
      <c r="N1119" s="4"/>
    </row>
    <row r="1120" spans="14:14">
      <c r="N1120" s="4"/>
    </row>
    <row r="1121" spans="14:14">
      <c r="N1121" s="4"/>
    </row>
    <row r="1122" spans="14:14">
      <c r="N1122" s="4"/>
    </row>
    <row r="1123" spans="14:14">
      <c r="N1123" s="4"/>
    </row>
    <row r="1124" spans="14:14">
      <c r="N1124" s="4"/>
    </row>
    <row r="1125" spans="14:14">
      <c r="N1125" s="4"/>
    </row>
    <row r="1126" spans="14:14">
      <c r="N1126" s="4"/>
    </row>
    <row r="1127" spans="14:14">
      <c r="N1127" s="4"/>
    </row>
    <row r="1128" spans="14:14">
      <c r="N1128" s="4"/>
    </row>
    <row r="1129" spans="14:14">
      <c r="N1129" s="4"/>
    </row>
    <row r="1130" spans="14:14">
      <c r="N1130" s="4"/>
    </row>
    <row r="1131" spans="14:14">
      <c r="N1131" s="4"/>
    </row>
    <row r="1132" spans="14:14">
      <c r="N1132" s="4"/>
    </row>
    <row r="1133" spans="14:14">
      <c r="N1133" s="4"/>
    </row>
    <row r="1134" spans="14:14">
      <c r="N1134" s="4"/>
    </row>
    <row r="1135" spans="14:14">
      <c r="N1135" s="4"/>
    </row>
    <row r="1136" spans="14:14">
      <c r="N1136" s="4"/>
    </row>
    <row r="1137" spans="14:14">
      <c r="N1137" s="4"/>
    </row>
    <row r="1138" spans="14:14">
      <c r="N1138" s="4"/>
    </row>
    <row r="1139" spans="14:14">
      <c r="N1139" s="4"/>
    </row>
    <row r="1140" spans="14:14">
      <c r="N1140" s="4"/>
    </row>
    <row r="1141" spans="14:14">
      <c r="N1141" s="4"/>
    </row>
    <row r="1142" spans="14:14">
      <c r="N1142" s="4"/>
    </row>
    <row r="1143" spans="14:14">
      <c r="N1143" s="4"/>
    </row>
    <row r="1144" spans="14:14">
      <c r="N1144" s="4"/>
    </row>
    <row r="1145" spans="14:14">
      <c r="N1145" s="4"/>
    </row>
    <row r="1146" spans="14:14">
      <c r="N1146" s="4"/>
    </row>
    <row r="1147" spans="14:14">
      <c r="N1147" s="4"/>
    </row>
    <row r="1148" spans="14:14">
      <c r="N1148" s="4"/>
    </row>
    <row r="1149" spans="14:14">
      <c r="N1149" s="4"/>
    </row>
    <row r="1150" spans="14:14">
      <c r="N1150" s="4"/>
    </row>
    <row r="1151" spans="14:14">
      <c r="N1151" s="4"/>
    </row>
    <row r="1152" spans="14:14">
      <c r="N1152" s="4"/>
    </row>
    <row r="1153" spans="14:14">
      <c r="N1153" s="4"/>
    </row>
    <row r="1154" spans="14:14">
      <c r="N1154" s="4"/>
    </row>
    <row r="1155" spans="14:14">
      <c r="N1155" s="4"/>
    </row>
    <row r="1156" spans="14:14">
      <c r="N1156" s="4"/>
    </row>
    <row r="1157" spans="14:14">
      <c r="N1157" s="4"/>
    </row>
    <row r="1158" spans="14:14">
      <c r="N1158" s="4"/>
    </row>
    <row r="1159" spans="14:14">
      <c r="N1159" s="4"/>
    </row>
    <row r="1160" spans="14:14">
      <c r="N1160" s="4"/>
    </row>
    <row r="1161" spans="14:14">
      <c r="N1161" s="4"/>
    </row>
    <row r="1162" spans="14:14">
      <c r="N1162" s="4"/>
    </row>
    <row r="1163" spans="14:14">
      <c r="N1163" s="4"/>
    </row>
    <row r="1164" spans="14:14">
      <c r="N1164" s="4"/>
    </row>
    <row r="1165" spans="14:14">
      <c r="N1165" s="4"/>
    </row>
    <row r="1166" spans="14:14">
      <c r="N1166" s="4"/>
    </row>
    <row r="1167" spans="14:14">
      <c r="N1167" s="4"/>
    </row>
    <row r="1168" spans="14:14">
      <c r="N1168" s="4"/>
    </row>
    <row r="1169" spans="14:14">
      <c r="N1169" s="4"/>
    </row>
    <row r="1170" spans="14:14">
      <c r="N1170" s="4"/>
    </row>
    <row r="1171" spans="14:14">
      <c r="N1171" s="4"/>
    </row>
    <row r="1172" spans="14:14">
      <c r="N1172" s="4"/>
    </row>
    <row r="1173" spans="14:14">
      <c r="N1173" s="4"/>
    </row>
    <row r="1174" spans="14:14">
      <c r="N1174" s="4"/>
    </row>
    <row r="1175" spans="14:14">
      <c r="N1175" s="4"/>
    </row>
    <row r="1176" spans="14:14">
      <c r="N1176" s="4"/>
    </row>
    <row r="1177" spans="14:14">
      <c r="N1177" s="4"/>
    </row>
    <row r="1178" spans="14:14">
      <c r="N1178" s="4"/>
    </row>
    <row r="1179" spans="14:14">
      <c r="N1179" s="4"/>
    </row>
    <row r="1180" spans="14:14">
      <c r="N1180" s="4"/>
    </row>
    <row r="1181" spans="14:14">
      <c r="N1181" s="4"/>
    </row>
    <row r="1182" spans="14:14">
      <c r="N1182" s="4"/>
    </row>
    <row r="1183" spans="14:14">
      <c r="N1183" s="4"/>
    </row>
    <row r="1184" spans="14:14">
      <c r="N1184" s="4"/>
    </row>
    <row r="1185" spans="14:14">
      <c r="N1185" s="4"/>
    </row>
    <row r="1186" spans="14:14">
      <c r="N1186" s="4"/>
    </row>
    <row r="1187" spans="14:14">
      <c r="N1187" s="4"/>
    </row>
    <row r="1188" spans="14:14">
      <c r="N1188" s="4"/>
    </row>
    <row r="1189" spans="14:14">
      <c r="N1189" s="4"/>
    </row>
    <row r="1190" spans="14:14">
      <c r="N1190" s="4"/>
    </row>
    <row r="1191" spans="14:14">
      <c r="N1191" s="4"/>
    </row>
    <row r="1192" spans="14:14">
      <c r="N1192" s="4"/>
    </row>
    <row r="1193" spans="14:14">
      <c r="N1193" s="4"/>
    </row>
    <row r="1194" spans="14:14">
      <c r="N1194" s="4"/>
    </row>
    <row r="1195" spans="14:14">
      <c r="N1195" s="4"/>
    </row>
    <row r="1196" spans="14:14">
      <c r="N1196" s="4"/>
    </row>
    <row r="1197" spans="14:14">
      <c r="N1197" s="4"/>
    </row>
    <row r="1198" spans="14:14">
      <c r="N1198" s="4"/>
    </row>
    <row r="1199" spans="14:14">
      <c r="N1199" s="4"/>
    </row>
    <row r="1200" spans="14:14">
      <c r="N1200" s="4"/>
    </row>
    <row r="1201" spans="14:14">
      <c r="N1201" s="4"/>
    </row>
    <row r="1202" spans="14:14">
      <c r="N1202" s="4"/>
    </row>
    <row r="1203" spans="14:14">
      <c r="N1203" s="4"/>
    </row>
    <row r="1204" spans="14:14">
      <c r="N1204" s="4"/>
    </row>
    <row r="1205" spans="14:14">
      <c r="N1205" s="4"/>
    </row>
    <row r="1206" spans="14:14">
      <c r="N1206" s="4"/>
    </row>
    <row r="1207" spans="14:14">
      <c r="N1207" s="4"/>
    </row>
    <row r="1208" spans="14:14">
      <c r="N1208" s="4"/>
    </row>
    <row r="1209" spans="14:14">
      <c r="N1209" s="4"/>
    </row>
    <row r="1210" spans="14:14">
      <c r="N1210" s="4"/>
    </row>
    <row r="1211" spans="14:14">
      <c r="N1211" s="4"/>
    </row>
    <row r="1212" spans="14:14">
      <c r="N1212" s="4"/>
    </row>
    <row r="1213" spans="14:14">
      <c r="N1213" s="4"/>
    </row>
    <row r="1214" spans="14:14">
      <c r="N1214" s="4"/>
    </row>
    <row r="1215" spans="14:14">
      <c r="N1215" s="4"/>
    </row>
    <row r="1216" spans="14:14">
      <c r="N1216" s="4"/>
    </row>
    <row r="1217" spans="14:14">
      <c r="N1217" s="4"/>
    </row>
    <row r="1218" spans="14:14">
      <c r="N1218" s="4"/>
    </row>
    <row r="1219" spans="14:14">
      <c r="N1219" s="4"/>
    </row>
    <row r="1220" spans="14:14">
      <c r="N1220" s="4"/>
    </row>
    <row r="1221" spans="14:14">
      <c r="N1221" s="4"/>
    </row>
    <row r="1222" spans="14:14">
      <c r="N1222" s="4"/>
    </row>
    <row r="1223" spans="14:14">
      <c r="N1223" s="4"/>
    </row>
    <row r="1224" spans="14:14">
      <c r="N1224" s="4"/>
    </row>
    <row r="1225" spans="14:14">
      <c r="N1225" s="4"/>
    </row>
    <row r="1226" spans="14:14">
      <c r="N1226" s="4"/>
    </row>
    <row r="1227" spans="14:14">
      <c r="N1227" s="4"/>
    </row>
    <row r="1228" spans="14:14">
      <c r="N1228" s="4"/>
    </row>
    <row r="1229" spans="14:14">
      <c r="N1229" s="4"/>
    </row>
    <row r="1230" spans="14:14">
      <c r="N1230" s="4"/>
    </row>
    <row r="1231" spans="14:14">
      <c r="N1231" s="4"/>
    </row>
    <row r="1232" spans="14:14">
      <c r="N1232" s="4"/>
    </row>
    <row r="1233" spans="14:14">
      <c r="N1233" s="4"/>
    </row>
    <row r="1234" spans="14:14">
      <c r="N1234" s="4"/>
    </row>
    <row r="1235" spans="14:14">
      <c r="N1235" s="4"/>
    </row>
    <row r="1236" spans="14:14">
      <c r="N1236" s="4"/>
    </row>
    <row r="1237" spans="14:14">
      <c r="N1237" s="4"/>
    </row>
    <row r="1238" spans="14:14">
      <c r="N1238" s="4"/>
    </row>
    <row r="1239" spans="14:14">
      <c r="N1239" s="4"/>
    </row>
    <row r="1240" spans="14:14">
      <c r="N1240" s="4"/>
    </row>
    <row r="1241" spans="14:14">
      <c r="N1241" s="4"/>
    </row>
    <row r="1242" spans="14:14">
      <c r="N1242" s="4"/>
    </row>
    <row r="1243" spans="14:14">
      <c r="N1243" s="4"/>
    </row>
    <row r="1244" spans="14:14">
      <c r="N1244" s="4"/>
    </row>
    <row r="1245" spans="14:14">
      <c r="N1245" s="4"/>
    </row>
    <row r="1246" spans="14:14">
      <c r="N1246" s="4"/>
    </row>
    <row r="1247" spans="14:14">
      <c r="N1247" s="4"/>
    </row>
    <row r="1248" spans="14:14">
      <c r="N1248" s="4"/>
    </row>
    <row r="1249" spans="14:14">
      <c r="N1249" s="4"/>
    </row>
    <row r="1250" spans="14:14">
      <c r="N1250" s="4"/>
    </row>
    <row r="1251" spans="14:14">
      <c r="N1251" s="4"/>
    </row>
    <row r="1252" spans="14:14">
      <c r="N1252" s="4"/>
    </row>
    <row r="1253" spans="14:14">
      <c r="N1253" s="4"/>
    </row>
    <row r="1254" spans="14:14">
      <c r="N1254" s="4"/>
    </row>
    <row r="1255" spans="14:14">
      <c r="N1255" s="4"/>
    </row>
    <row r="1256" spans="14:14">
      <c r="N1256" s="4"/>
    </row>
    <row r="1257" spans="14:14">
      <c r="N1257" s="4"/>
    </row>
    <row r="1258" spans="14:14">
      <c r="N1258" s="4"/>
    </row>
    <row r="1259" spans="14:14">
      <c r="N1259" s="4"/>
    </row>
    <row r="1260" spans="14:14">
      <c r="N1260" s="4"/>
    </row>
    <row r="1261" spans="14:14">
      <c r="N1261" s="4"/>
    </row>
    <row r="1262" spans="14:14">
      <c r="N1262" s="4"/>
    </row>
    <row r="1263" spans="14:14">
      <c r="N1263" s="4"/>
    </row>
    <row r="1264" spans="14:14">
      <c r="N1264" s="4"/>
    </row>
    <row r="1265" spans="14:14">
      <c r="N1265" s="4"/>
    </row>
    <row r="1266" spans="14:14">
      <c r="N1266" s="4"/>
    </row>
    <row r="1267" spans="14:14">
      <c r="N1267" s="4"/>
    </row>
    <row r="1268" spans="14:14">
      <c r="N1268" s="4"/>
    </row>
    <row r="1269" spans="14:14">
      <c r="N1269" s="4"/>
    </row>
    <row r="1270" spans="14:14">
      <c r="N1270" s="4"/>
    </row>
    <row r="1271" spans="14:14">
      <c r="N1271" s="4"/>
    </row>
    <row r="1272" spans="14:14">
      <c r="N1272" s="4"/>
    </row>
    <row r="1273" spans="14:14">
      <c r="N1273" s="4"/>
    </row>
    <row r="1274" spans="14:14">
      <c r="N1274" s="4"/>
    </row>
    <row r="1275" spans="14:14">
      <c r="N1275" s="4"/>
    </row>
    <row r="1276" spans="14:14">
      <c r="N1276" s="4"/>
    </row>
    <row r="1277" spans="14:14">
      <c r="N1277" s="4"/>
    </row>
    <row r="1278" spans="14:14">
      <c r="N1278" s="4"/>
    </row>
    <row r="1279" spans="14:14">
      <c r="N1279" s="4"/>
    </row>
    <row r="1280" spans="14:14">
      <c r="N1280" s="4"/>
    </row>
    <row r="1281" spans="14:14">
      <c r="N1281" s="4"/>
    </row>
    <row r="1282" spans="14:14">
      <c r="N1282" s="4"/>
    </row>
    <row r="1283" spans="14:14">
      <c r="N1283" s="4"/>
    </row>
    <row r="1284" spans="14:14">
      <c r="N1284" s="4"/>
    </row>
    <row r="1285" spans="14:14">
      <c r="N1285" s="4"/>
    </row>
    <row r="1286" spans="14:14">
      <c r="N1286" s="4"/>
    </row>
    <row r="1287" spans="14:14">
      <c r="N1287" s="4"/>
    </row>
    <row r="1288" spans="14:14">
      <c r="N1288" s="4"/>
    </row>
    <row r="1289" spans="14:14">
      <c r="N1289" s="4"/>
    </row>
    <row r="1290" spans="14:14">
      <c r="N1290" s="4"/>
    </row>
    <row r="1291" spans="14:14">
      <c r="N1291" s="4"/>
    </row>
    <row r="1292" spans="14:14">
      <c r="N1292" s="4"/>
    </row>
    <row r="1293" spans="14:14">
      <c r="N1293" s="4"/>
    </row>
    <row r="1294" spans="14:14">
      <c r="N1294" s="4"/>
    </row>
    <row r="1295" spans="14:14">
      <c r="N1295" s="4"/>
    </row>
    <row r="1296" spans="14:14">
      <c r="N1296" s="4"/>
    </row>
    <row r="1297" spans="14:14">
      <c r="N1297" s="4"/>
    </row>
    <row r="1298" spans="14:14">
      <c r="N1298" s="4"/>
    </row>
    <row r="1299" spans="14:14">
      <c r="N1299" s="4"/>
    </row>
    <row r="1300" spans="14:14">
      <c r="N1300" s="4"/>
    </row>
    <row r="1301" spans="14:14">
      <c r="N1301" s="4"/>
    </row>
    <row r="1302" spans="14:14">
      <c r="N1302" s="4"/>
    </row>
    <row r="1303" spans="14:14">
      <c r="N1303" s="4"/>
    </row>
    <row r="1304" spans="14:14">
      <c r="N1304" s="4"/>
    </row>
    <row r="1305" spans="14:14">
      <c r="N1305" s="4"/>
    </row>
    <row r="1306" spans="14:14">
      <c r="N1306" s="4"/>
    </row>
    <row r="1307" spans="14:14">
      <c r="N1307" s="4"/>
    </row>
    <row r="1308" spans="14:14">
      <c r="N1308" s="4"/>
    </row>
    <row r="1309" spans="14:14">
      <c r="N1309" s="4"/>
    </row>
    <row r="1310" spans="14:14">
      <c r="N1310" s="4"/>
    </row>
    <row r="1311" spans="14:14">
      <c r="N1311" s="4"/>
    </row>
    <row r="1312" spans="14:14">
      <c r="N1312" s="4"/>
    </row>
    <row r="1313" spans="14:14">
      <c r="N1313" s="4"/>
    </row>
    <row r="1314" spans="14:14">
      <c r="N1314" s="4"/>
    </row>
    <row r="1315" spans="14:14">
      <c r="N1315" s="4"/>
    </row>
    <row r="1316" spans="14:14">
      <c r="N1316" s="4"/>
    </row>
    <row r="1317" spans="14:14">
      <c r="N1317" s="4"/>
    </row>
    <row r="1318" spans="14:14">
      <c r="N1318" s="4"/>
    </row>
    <row r="1319" spans="14:14">
      <c r="N1319" s="4"/>
    </row>
    <row r="1320" spans="14:14">
      <c r="N1320" s="4"/>
    </row>
    <row r="1321" spans="14:14">
      <c r="N1321" s="4"/>
    </row>
    <row r="1322" spans="14:14">
      <c r="N1322" s="4"/>
    </row>
    <row r="1323" spans="14:14">
      <c r="N1323" s="4"/>
    </row>
    <row r="1324" spans="14:14">
      <c r="N1324" s="4"/>
    </row>
    <row r="1325" spans="14:14">
      <c r="N1325" s="4"/>
    </row>
    <row r="1326" spans="14:14">
      <c r="N1326" s="4"/>
    </row>
    <row r="1327" spans="14:14">
      <c r="N1327" s="4"/>
    </row>
    <row r="1328" spans="14:14">
      <c r="N1328" s="4"/>
    </row>
    <row r="1329" spans="14:14">
      <c r="N1329" s="4"/>
    </row>
    <row r="1330" spans="14:14">
      <c r="N1330" s="4"/>
    </row>
    <row r="1331" spans="14:14">
      <c r="N1331" s="4"/>
    </row>
    <row r="1332" spans="14:14">
      <c r="N1332" s="4"/>
    </row>
    <row r="1333" spans="14:14">
      <c r="N1333" s="4"/>
    </row>
    <row r="1334" spans="14:14">
      <c r="N1334" s="4"/>
    </row>
    <row r="1335" spans="14:14">
      <c r="N1335" s="4"/>
    </row>
    <row r="1336" spans="14:14">
      <c r="N1336" s="4"/>
    </row>
    <row r="1337" spans="14:14">
      <c r="N1337" s="4"/>
    </row>
    <row r="1338" spans="14:14">
      <c r="N1338" s="4"/>
    </row>
    <row r="1339" spans="14:14">
      <c r="N1339" s="4"/>
    </row>
    <row r="1340" spans="14:14">
      <c r="N1340" s="4"/>
    </row>
    <row r="1341" spans="14:14">
      <c r="N1341" s="4"/>
    </row>
    <row r="1342" spans="14:14">
      <c r="N1342" s="4"/>
    </row>
    <row r="1343" spans="14:14">
      <c r="N1343" s="4"/>
    </row>
    <row r="1344" spans="14:14">
      <c r="N1344" s="4"/>
    </row>
    <row r="1345" spans="14:14">
      <c r="N1345" s="4"/>
    </row>
    <row r="1346" spans="14:14">
      <c r="N1346" s="4"/>
    </row>
    <row r="1347" spans="14:14">
      <c r="N1347" s="4"/>
    </row>
    <row r="1348" spans="14:14">
      <c r="N1348" s="4"/>
    </row>
    <row r="1349" spans="14:14">
      <c r="N1349" s="4"/>
    </row>
    <row r="1350" spans="14:14">
      <c r="N1350" s="4"/>
    </row>
    <row r="1351" spans="14:14">
      <c r="N1351" s="4"/>
    </row>
    <row r="1352" spans="14:14">
      <c r="N1352" s="4"/>
    </row>
    <row r="1353" spans="14:14">
      <c r="N1353" s="4"/>
    </row>
    <row r="1354" spans="14:14">
      <c r="N1354" s="4"/>
    </row>
    <row r="1355" spans="14:14">
      <c r="N1355" s="4"/>
    </row>
    <row r="1356" spans="14:14">
      <c r="N1356" s="4"/>
    </row>
    <row r="1357" spans="14:14">
      <c r="N1357" s="4"/>
    </row>
    <row r="1358" spans="14:14">
      <c r="N1358" s="4"/>
    </row>
    <row r="1359" spans="14:14">
      <c r="N1359" s="4"/>
    </row>
    <row r="1360" spans="14:14">
      <c r="N1360" s="4"/>
    </row>
    <row r="1361" spans="14:14">
      <c r="N1361" s="4"/>
    </row>
    <row r="1362" spans="14:14">
      <c r="N1362" s="4"/>
    </row>
    <row r="1363" spans="14:14">
      <c r="N1363" s="4"/>
    </row>
    <row r="1364" spans="14:14">
      <c r="N1364" s="4"/>
    </row>
    <row r="1365" spans="14:14">
      <c r="N1365" s="4"/>
    </row>
    <row r="1366" spans="14:14">
      <c r="N1366" s="4"/>
    </row>
    <row r="1367" spans="14:14">
      <c r="N1367" s="4"/>
    </row>
    <row r="1368" spans="14:14">
      <c r="N1368" s="4"/>
    </row>
    <row r="1369" spans="14:14">
      <c r="N1369" s="4"/>
    </row>
    <row r="1370" spans="14:14">
      <c r="N1370" s="4"/>
    </row>
    <row r="1371" spans="14:14">
      <c r="N1371" s="4"/>
    </row>
    <row r="1372" spans="14:14">
      <c r="N1372" s="4"/>
    </row>
    <row r="1373" spans="14:14">
      <c r="N1373" s="4"/>
    </row>
    <row r="1374" spans="14:14">
      <c r="N1374" s="4"/>
    </row>
    <row r="1375" spans="14:14">
      <c r="N1375" s="4"/>
    </row>
    <row r="1376" spans="14:14">
      <c r="N1376" s="4"/>
    </row>
    <row r="1377" spans="14:14">
      <c r="N1377" s="4"/>
    </row>
    <row r="1378" spans="14:14">
      <c r="N1378" s="4"/>
    </row>
    <row r="1379" spans="14:14">
      <c r="N1379" s="4"/>
    </row>
    <row r="1380" spans="14:14">
      <c r="N1380" s="4"/>
    </row>
    <row r="1381" spans="14:14">
      <c r="N1381" s="4"/>
    </row>
    <row r="1382" spans="14:14">
      <c r="N1382" s="4"/>
    </row>
    <row r="1383" spans="14:14">
      <c r="N1383" s="4"/>
    </row>
    <row r="1384" spans="14:14">
      <c r="N1384" s="4"/>
    </row>
    <row r="1385" spans="14:14">
      <c r="N1385" s="4"/>
    </row>
    <row r="1386" spans="14:14">
      <c r="N1386" s="4"/>
    </row>
    <row r="1387" spans="14:14">
      <c r="N1387" s="4"/>
    </row>
    <row r="1388" spans="14:14">
      <c r="N1388" s="4"/>
    </row>
    <row r="1389" spans="14:14">
      <c r="N1389" s="4"/>
    </row>
    <row r="1390" spans="14:14">
      <c r="N1390" s="4"/>
    </row>
    <row r="1391" spans="14:14">
      <c r="N1391" s="4"/>
    </row>
    <row r="1392" spans="14:14">
      <c r="N1392" s="4"/>
    </row>
    <row r="1393" spans="14:14">
      <c r="N1393" s="4"/>
    </row>
    <row r="1394" spans="14:14">
      <c r="N1394" s="4"/>
    </row>
    <row r="1395" spans="14:14">
      <c r="N1395" s="4"/>
    </row>
    <row r="1396" spans="14:14">
      <c r="N1396" s="4"/>
    </row>
    <row r="1397" spans="14:14">
      <c r="N1397" s="4"/>
    </row>
    <row r="1398" spans="14:14">
      <c r="N1398" s="4"/>
    </row>
    <row r="1399" spans="14:14">
      <c r="N1399" s="4"/>
    </row>
    <row r="1400" spans="14:14">
      <c r="N1400" s="4"/>
    </row>
    <row r="1401" spans="14:14">
      <c r="N1401" s="4"/>
    </row>
    <row r="1402" spans="14:14">
      <c r="N1402" s="4"/>
    </row>
    <row r="1403" spans="14:14">
      <c r="N1403" s="4"/>
    </row>
    <row r="1404" spans="14:14">
      <c r="N1404" s="4"/>
    </row>
    <row r="1405" spans="14:14">
      <c r="N1405" s="4"/>
    </row>
    <row r="1406" spans="14:14">
      <c r="N1406" s="4"/>
    </row>
    <row r="1407" spans="14:14">
      <c r="N1407" s="4"/>
    </row>
    <row r="1408" spans="14:14">
      <c r="N1408" s="4"/>
    </row>
    <row r="1409" spans="14:14">
      <c r="N1409" s="4"/>
    </row>
    <row r="1410" spans="14:14">
      <c r="N1410" s="4"/>
    </row>
    <row r="1411" spans="14:14">
      <c r="N1411" s="4"/>
    </row>
    <row r="1412" spans="14:14">
      <c r="N1412" s="4"/>
    </row>
    <row r="1413" spans="14:14">
      <c r="N1413" s="4"/>
    </row>
    <row r="1414" spans="14:14">
      <c r="N1414" s="4"/>
    </row>
    <row r="1415" spans="14:14">
      <c r="N1415" s="4"/>
    </row>
    <row r="1416" spans="14:14">
      <c r="N1416" s="4"/>
    </row>
    <row r="1417" spans="14:14">
      <c r="N1417" s="4"/>
    </row>
    <row r="1418" spans="14:14">
      <c r="N1418" s="4"/>
    </row>
    <row r="1419" spans="14:14">
      <c r="N1419" s="4"/>
    </row>
    <row r="1420" spans="14:14">
      <c r="N1420" s="4"/>
    </row>
    <row r="1421" spans="14:14">
      <c r="N1421" s="4"/>
    </row>
    <row r="1422" spans="14:14">
      <c r="N1422" s="4"/>
    </row>
    <row r="1423" spans="14:14">
      <c r="N1423" s="4"/>
    </row>
    <row r="1424" spans="14:14">
      <c r="N1424" s="4"/>
    </row>
    <row r="1425" spans="14:14">
      <c r="N1425" s="4"/>
    </row>
    <row r="1426" spans="14:14">
      <c r="N1426" s="4"/>
    </row>
    <row r="1427" spans="14:14">
      <c r="N1427" s="4"/>
    </row>
    <row r="1428" spans="14:14">
      <c r="N1428" s="4"/>
    </row>
    <row r="1429" spans="14:14">
      <c r="N1429" s="4"/>
    </row>
    <row r="1430" spans="14:14">
      <c r="N1430" s="4"/>
    </row>
    <row r="1431" spans="14:14">
      <c r="N1431" s="4"/>
    </row>
    <row r="1432" spans="14:14">
      <c r="N1432" s="4"/>
    </row>
    <row r="1433" spans="14:14">
      <c r="N1433" s="4"/>
    </row>
    <row r="1434" spans="14:14">
      <c r="N1434" s="4"/>
    </row>
    <row r="1435" spans="14:14">
      <c r="N1435" s="4"/>
    </row>
    <row r="1436" spans="14:14">
      <c r="N1436" s="4"/>
    </row>
    <row r="1437" spans="14:14">
      <c r="N1437" s="4"/>
    </row>
    <row r="1438" spans="14:14">
      <c r="N1438" s="4"/>
    </row>
    <row r="1439" spans="14:14">
      <c r="N1439" s="4"/>
    </row>
    <row r="1440" spans="14:14">
      <c r="N1440" s="4"/>
    </row>
    <row r="1441" spans="14:14">
      <c r="N1441" s="4"/>
    </row>
    <row r="1442" spans="14:14">
      <c r="N1442" s="4"/>
    </row>
    <row r="1443" spans="14:14">
      <c r="N1443" s="4"/>
    </row>
    <row r="1444" spans="14:14">
      <c r="N1444" s="4"/>
    </row>
    <row r="1445" spans="14:14">
      <c r="N1445" s="4"/>
    </row>
    <row r="1446" spans="14:14">
      <c r="N1446" s="4"/>
    </row>
    <row r="1447" spans="14:14">
      <c r="N1447" s="4"/>
    </row>
    <row r="1448" spans="14:14">
      <c r="N1448" s="4"/>
    </row>
    <row r="1449" spans="14:14">
      <c r="N1449" s="4"/>
    </row>
    <row r="1450" spans="14:14">
      <c r="N1450" s="4"/>
    </row>
    <row r="1451" spans="14:14">
      <c r="N1451" s="4"/>
    </row>
    <row r="1452" spans="14:14">
      <c r="N1452" s="4"/>
    </row>
    <row r="1453" spans="14:14">
      <c r="N1453" s="4"/>
    </row>
    <row r="1454" spans="14:14">
      <c r="N1454" s="4"/>
    </row>
    <row r="1455" spans="14:14">
      <c r="N1455" s="4"/>
    </row>
    <row r="1456" spans="14:14">
      <c r="N1456" s="4"/>
    </row>
    <row r="1457" spans="14:14">
      <c r="N1457" s="4"/>
    </row>
    <row r="1458" spans="14:14">
      <c r="N1458" s="4"/>
    </row>
    <row r="1459" spans="14:14">
      <c r="N1459" s="4"/>
    </row>
    <row r="1460" spans="14:14">
      <c r="N1460" s="4"/>
    </row>
    <row r="1461" spans="14:14">
      <c r="N1461" s="4"/>
    </row>
    <row r="1462" spans="14:14">
      <c r="N1462" s="4"/>
    </row>
    <row r="1463" spans="14:14">
      <c r="N1463" s="4"/>
    </row>
    <row r="1464" spans="14:14">
      <c r="N1464" s="4"/>
    </row>
    <row r="1465" spans="14:14">
      <c r="N1465" s="4"/>
    </row>
    <row r="1466" spans="14:14">
      <c r="N1466" s="4"/>
    </row>
    <row r="1467" spans="14:14">
      <c r="N1467" s="4"/>
    </row>
    <row r="1468" spans="14:14">
      <c r="N1468" s="4"/>
    </row>
    <row r="1469" spans="14:14">
      <c r="N1469" s="4"/>
    </row>
    <row r="1470" spans="14:14">
      <c r="N1470" s="4"/>
    </row>
    <row r="1471" spans="14:14">
      <c r="N1471" s="4"/>
    </row>
    <row r="1472" spans="14:14">
      <c r="N1472" s="4"/>
    </row>
    <row r="1473" spans="14:14">
      <c r="N1473" s="4"/>
    </row>
    <row r="1474" spans="14:14">
      <c r="N1474" s="4"/>
    </row>
    <row r="1475" spans="14:14">
      <c r="N1475" s="4"/>
    </row>
    <row r="1476" spans="14:14">
      <c r="N1476" s="4"/>
    </row>
    <row r="1477" spans="14:14">
      <c r="N1477" s="4"/>
    </row>
    <row r="1478" spans="14:14">
      <c r="N1478" s="4"/>
    </row>
    <row r="1479" spans="14:14">
      <c r="N1479" s="4"/>
    </row>
    <row r="1480" spans="14:14">
      <c r="N1480" s="4"/>
    </row>
    <row r="1481" spans="14:14">
      <c r="N1481" s="4"/>
    </row>
    <row r="1482" spans="14:14">
      <c r="N1482" s="4"/>
    </row>
    <row r="1483" spans="14:14">
      <c r="N1483" s="4"/>
    </row>
    <row r="1484" spans="14:14">
      <c r="N1484" s="4"/>
    </row>
    <row r="1485" spans="14:14">
      <c r="N1485" s="4"/>
    </row>
    <row r="1486" spans="14:14">
      <c r="N1486" s="4"/>
    </row>
    <row r="1487" spans="14:14">
      <c r="N1487" s="4"/>
    </row>
    <row r="1488" spans="14:14">
      <c r="N1488" s="4"/>
    </row>
    <row r="1489" spans="14:14">
      <c r="N1489" s="4"/>
    </row>
    <row r="1490" spans="14:14">
      <c r="N1490" s="4"/>
    </row>
    <row r="1491" spans="14:14">
      <c r="N1491" s="4"/>
    </row>
    <row r="1492" spans="14:14">
      <c r="N1492" s="4"/>
    </row>
    <row r="1493" spans="14:14">
      <c r="N1493" s="4"/>
    </row>
    <row r="1494" spans="14:14">
      <c r="N1494" s="4"/>
    </row>
    <row r="1495" spans="14:14">
      <c r="N1495" s="4"/>
    </row>
    <row r="1496" spans="14:14">
      <c r="N1496" s="4"/>
    </row>
    <row r="1497" spans="14:14">
      <c r="N1497" s="4"/>
    </row>
    <row r="1498" spans="14:14">
      <c r="N1498" s="4"/>
    </row>
    <row r="1499" spans="14:14">
      <c r="N1499" s="4"/>
    </row>
    <row r="1500" spans="14:14">
      <c r="N1500" s="4"/>
    </row>
    <row r="1501" spans="14:14">
      <c r="N1501" s="4"/>
    </row>
    <row r="1502" spans="14:14">
      <c r="N1502" s="4"/>
    </row>
    <row r="1503" spans="14:14">
      <c r="N1503" s="4"/>
    </row>
    <row r="1504" spans="14:14">
      <c r="N1504" s="4"/>
    </row>
    <row r="1505" spans="14:14">
      <c r="N1505" s="4"/>
    </row>
    <row r="1506" spans="14:14">
      <c r="N1506" s="4"/>
    </row>
    <row r="1507" spans="14:14">
      <c r="N1507" s="4"/>
    </row>
    <row r="1508" spans="14:14">
      <c r="N1508" s="4"/>
    </row>
    <row r="1509" spans="14:14">
      <c r="N1509" s="4"/>
    </row>
    <row r="1510" spans="14:14">
      <c r="N1510" s="4"/>
    </row>
    <row r="1511" spans="14:14">
      <c r="N1511" s="4"/>
    </row>
    <row r="1512" spans="14:14">
      <c r="N1512" s="4"/>
    </row>
    <row r="1513" spans="14:14">
      <c r="N1513" s="4"/>
    </row>
    <row r="1514" spans="14:14">
      <c r="N1514" s="4"/>
    </row>
    <row r="1515" spans="14:14">
      <c r="N1515" s="4"/>
    </row>
    <row r="1516" spans="14:14">
      <c r="N1516" s="4"/>
    </row>
    <row r="1517" spans="14:14">
      <c r="N1517" s="4"/>
    </row>
    <row r="1518" spans="14:14">
      <c r="N1518" s="4"/>
    </row>
    <row r="1519" spans="14:14">
      <c r="N1519" s="4"/>
    </row>
    <row r="1520" spans="14:14">
      <c r="N1520" s="4"/>
    </row>
    <row r="1521" spans="14:14">
      <c r="N1521" s="4"/>
    </row>
    <row r="1522" spans="14:14">
      <c r="N1522" s="4"/>
    </row>
    <row r="1523" spans="14:14">
      <c r="N1523" s="4"/>
    </row>
    <row r="1524" spans="14:14">
      <c r="N1524" s="4"/>
    </row>
    <row r="1525" spans="14:14">
      <c r="N1525" s="4"/>
    </row>
    <row r="1526" spans="14:14">
      <c r="N1526" s="4"/>
    </row>
    <row r="1527" spans="14:14">
      <c r="N1527" s="4"/>
    </row>
    <row r="1528" spans="14:14">
      <c r="N1528" s="4"/>
    </row>
    <row r="1529" spans="14:14">
      <c r="N1529" s="4"/>
    </row>
    <row r="1530" spans="14:14">
      <c r="N1530" s="4"/>
    </row>
    <row r="1531" spans="14:14">
      <c r="N1531" s="4"/>
    </row>
    <row r="1532" spans="14:14">
      <c r="N1532" s="4"/>
    </row>
    <row r="1533" spans="14:14">
      <c r="N1533" s="4"/>
    </row>
    <row r="1534" spans="14:14">
      <c r="N1534" s="4"/>
    </row>
    <row r="1535" spans="14:14">
      <c r="N1535" s="4"/>
    </row>
    <row r="1536" spans="14:14">
      <c r="N1536" s="4"/>
    </row>
    <row r="1537" spans="14:14">
      <c r="N1537" s="4"/>
    </row>
    <row r="1538" spans="14:14">
      <c r="N1538" s="4"/>
    </row>
    <row r="1539" spans="14:14">
      <c r="N1539" s="4"/>
    </row>
    <row r="1540" spans="14:14">
      <c r="N1540" s="4"/>
    </row>
    <row r="1541" spans="14:14">
      <c r="N1541" s="4"/>
    </row>
    <row r="1542" spans="14:14">
      <c r="N1542" s="4"/>
    </row>
    <row r="1543" spans="14:14">
      <c r="N1543" s="4"/>
    </row>
    <row r="1544" spans="14:14">
      <c r="N1544" s="4"/>
    </row>
    <row r="1545" spans="14:14">
      <c r="N1545" s="4"/>
    </row>
    <row r="1546" spans="14:14">
      <c r="N1546" s="4"/>
    </row>
    <row r="1547" spans="14:14">
      <c r="N1547" s="4"/>
    </row>
    <row r="1548" spans="14:14">
      <c r="N1548" s="4"/>
    </row>
    <row r="1549" spans="14:14">
      <c r="N1549" s="4"/>
    </row>
    <row r="1550" spans="14:14">
      <c r="N1550" s="4"/>
    </row>
    <row r="1551" spans="14:14">
      <c r="N1551" s="4"/>
    </row>
    <row r="1552" spans="14:14">
      <c r="N1552" s="4"/>
    </row>
    <row r="1553" spans="14:14">
      <c r="N1553" s="4"/>
    </row>
    <row r="1554" spans="14:14">
      <c r="N1554" s="4"/>
    </row>
    <row r="1555" spans="14:14">
      <c r="N1555" s="4"/>
    </row>
    <row r="1556" spans="14:14">
      <c r="N1556" s="4"/>
    </row>
    <row r="1557" spans="14:14">
      <c r="N1557" s="4"/>
    </row>
    <row r="1558" spans="14:14">
      <c r="N1558" s="4"/>
    </row>
    <row r="1559" spans="14:14">
      <c r="N1559" s="4"/>
    </row>
    <row r="1560" spans="14:14">
      <c r="N1560" s="4"/>
    </row>
    <row r="1561" spans="14:14">
      <c r="N1561" s="4"/>
    </row>
    <row r="1562" spans="14:14">
      <c r="N1562" s="4"/>
    </row>
    <row r="1563" spans="14:14">
      <c r="N1563" s="4"/>
    </row>
    <row r="1564" spans="14:14">
      <c r="N1564" s="4"/>
    </row>
    <row r="1565" spans="14:14">
      <c r="N1565" s="4"/>
    </row>
    <row r="1566" spans="14:14">
      <c r="N1566" s="4"/>
    </row>
    <row r="1567" spans="14:14">
      <c r="N1567" s="4"/>
    </row>
    <row r="1568" spans="14:14">
      <c r="N1568" s="4"/>
    </row>
    <row r="1569" spans="14:14">
      <c r="N1569" s="4"/>
    </row>
    <row r="1570" spans="14:14">
      <c r="N1570" s="4"/>
    </row>
    <row r="1571" spans="14:14">
      <c r="N1571" s="4"/>
    </row>
    <row r="1572" spans="14:14">
      <c r="N1572" s="4"/>
    </row>
    <row r="1573" spans="14:14">
      <c r="N1573" s="4"/>
    </row>
    <row r="1574" spans="14:14">
      <c r="N1574" s="4"/>
    </row>
    <row r="1575" spans="14:14">
      <c r="N1575" s="4"/>
    </row>
    <row r="1576" spans="14:14">
      <c r="N1576" s="4"/>
    </row>
    <row r="1577" spans="14:14">
      <c r="N1577" s="4"/>
    </row>
    <row r="1578" spans="14:14">
      <c r="N1578" s="4"/>
    </row>
    <row r="1579" spans="14:14">
      <c r="N1579" s="4"/>
    </row>
    <row r="1580" spans="14:14">
      <c r="N1580" s="4"/>
    </row>
    <row r="1581" spans="14:14">
      <c r="N1581" s="4"/>
    </row>
    <row r="1582" spans="14:14">
      <c r="N1582" s="4"/>
    </row>
    <row r="1583" spans="14:14">
      <c r="N1583" s="4"/>
    </row>
    <row r="1584" spans="14:14">
      <c r="N1584" s="4"/>
    </row>
    <row r="1585" spans="14:14">
      <c r="N1585" s="4"/>
    </row>
    <row r="1586" spans="14:14">
      <c r="N1586" s="4"/>
    </row>
    <row r="1587" spans="14:14">
      <c r="N1587" s="4"/>
    </row>
    <row r="1588" spans="14:14">
      <c r="N1588" s="4"/>
    </row>
    <row r="1589" spans="14:14">
      <c r="N1589" s="4"/>
    </row>
    <row r="1590" spans="14:14">
      <c r="N1590" s="4"/>
    </row>
    <row r="1591" spans="14:14">
      <c r="N1591" s="4"/>
    </row>
    <row r="1592" spans="14:14">
      <c r="N1592" s="4"/>
    </row>
    <row r="1593" spans="14:14">
      <c r="N1593" s="4"/>
    </row>
    <row r="1594" spans="14:14">
      <c r="N1594" s="4"/>
    </row>
    <row r="1595" spans="14:14">
      <c r="N1595" s="4"/>
    </row>
    <row r="1596" spans="14:14">
      <c r="N1596" s="4"/>
    </row>
    <row r="1597" spans="14:14">
      <c r="N1597" s="4"/>
    </row>
    <row r="1598" spans="14:14">
      <c r="N1598" s="4"/>
    </row>
    <row r="1599" spans="14:14">
      <c r="N1599" s="4"/>
    </row>
    <row r="1600" spans="14:14">
      <c r="N1600" s="4"/>
    </row>
    <row r="1601" spans="14:14">
      <c r="N1601" s="4"/>
    </row>
    <row r="1602" spans="14:14">
      <c r="N1602" s="4"/>
    </row>
    <row r="1603" spans="14:14">
      <c r="N1603" s="4"/>
    </row>
    <row r="1604" spans="14:14">
      <c r="N1604" s="4"/>
    </row>
    <row r="1605" spans="14:14">
      <c r="N1605" s="4"/>
    </row>
    <row r="1606" spans="14:14">
      <c r="N1606" s="4"/>
    </row>
    <row r="1607" spans="14:14">
      <c r="N1607" s="4"/>
    </row>
    <row r="1608" spans="14:14">
      <c r="N1608" s="4"/>
    </row>
    <row r="1609" spans="14:14">
      <c r="N1609" s="4"/>
    </row>
    <row r="1610" spans="14:14">
      <c r="N1610" s="4"/>
    </row>
    <row r="1611" spans="14:14">
      <c r="N1611" s="4"/>
    </row>
    <row r="1612" spans="14:14">
      <c r="N1612" s="4"/>
    </row>
    <row r="1613" spans="14:14">
      <c r="N1613" s="4"/>
    </row>
    <row r="1614" spans="14:14">
      <c r="N1614" s="4"/>
    </row>
    <row r="1615" spans="14:14">
      <c r="N1615" s="4"/>
    </row>
    <row r="1616" spans="14:14">
      <c r="N1616" s="4"/>
    </row>
    <row r="1617" spans="14:14">
      <c r="N1617" s="4"/>
    </row>
    <row r="1618" spans="14:14">
      <c r="N1618" s="4"/>
    </row>
    <row r="1619" spans="14:14">
      <c r="N1619" s="4"/>
    </row>
    <row r="1620" spans="14:14">
      <c r="N1620" s="4"/>
    </row>
    <row r="1621" spans="14:14">
      <c r="N1621" s="4"/>
    </row>
    <row r="1622" spans="14:14">
      <c r="N1622" s="4"/>
    </row>
    <row r="1623" spans="14:14">
      <c r="N1623" s="4"/>
    </row>
    <row r="1624" spans="14:14">
      <c r="N1624" s="4"/>
    </row>
    <row r="1625" spans="14:14">
      <c r="N1625" s="4"/>
    </row>
    <row r="1626" spans="14:14">
      <c r="N1626" s="4"/>
    </row>
    <row r="1627" spans="14:14">
      <c r="N1627" s="4"/>
    </row>
    <row r="1628" spans="14:14">
      <c r="N1628" s="4"/>
    </row>
    <row r="1629" spans="14:14">
      <c r="N1629" s="4"/>
    </row>
    <row r="1630" spans="14:14">
      <c r="N1630" s="4"/>
    </row>
    <row r="1631" spans="14:14">
      <c r="N1631" s="4"/>
    </row>
    <row r="1632" spans="14:14">
      <c r="N1632" s="4"/>
    </row>
    <row r="1633" spans="14:14">
      <c r="N1633" s="4"/>
    </row>
    <row r="1634" spans="14:14">
      <c r="N1634" s="4"/>
    </row>
    <row r="1635" spans="14:14">
      <c r="N1635" s="4"/>
    </row>
    <row r="1636" spans="14:14">
      <c r="N1636" s="4"/>
    </row>
    <row r="1637" spans="14:14">
      <c r="N1637" s="4"/>
    </row>
    <row r="1638" spans="14:14">
      <c r="N1638" s="4"/>
    </row>
    <row r="1639" spans="14:14">
      <c r="N1639" s="4"/>
    </row>
    <row r="1640" spans="14:14">
      <c r="N1640" s="4"/>
    </row>
    <row r="1641" spans="14:14">
      <c r="N1641" s="4"/>
    </row>
    <row r="1642" spans="14:14">
      <c r="N1642" s="4"/>
    </row>
    <row r="1643" spans="14:14">
      <c r="N1643" s="4"/>
    </row>
    <row r="1644" spans="14:14">
      <c r="N1644" s="4"/>
    </row>
    <row r="1645" spans="14:14">
      <c r="N1645" s="4"/>
    </row>
    <row r="1646" spans="14:14">
      <c r="N1646" s="4"/>
    </row>
    <row r="1647" spans="14:14">
      <c r="N1647" s="4"/>
    </row>
    <row r="1648" spans="14:14">
      <c r="N1648" s="4"/>
    </row>
    <row r="1649" spans="14:14">
      <c r="N1649" s="4"/>
    </row>
    <row r="1650" spans="14:14">
      <c r="N1650" s="4"/>
    </row>
    <row r="1651" spans="14:14">
      <c r="N1651" s="4"/>
    </row>
    <row r="1652" spans="14:14">
      <c r="N1652" s="4"/>
    </row>
    <row r="1653" spans="14:14">
      <c r="N1653" s="4"/>
    </row>
    <row r="1654" spans="14:14">
      <c r="N1654" s="4"/>
    </row>
    <row r="1655" spans="14:14">
      <c r="N1655" s="4"/>
    </row>
    <row r="1656" spans="14:14">
      <c r="N1656" s="4"/>
    </row>
    <row r="1657" spans="14:14">
      <c r="N1657" s="4"/>
    </row>
    <row r="1658" spans="14:14">
      <c r="N1658" s="4"/>
    </row>
    <row r="1659" spans="14:14">
      <c r="N1659" s="4"/>
    </row>
    <row r="1660" spans="14:14">
      <c r="N1660" s="4"/>
    </row>
    <row r="1661" spans="14:14">
      <c r="N1661" s="4"/>
    </row>
    <row r="1662" spans="14:14">
      <c r="N1662" s="4"/>
    </row>
    <row r="1663" spans="14:14">
      <c r="N1663" s="4"/>
    </row>
    <row r="1664" spans="14:14">
      <c r="N1664" s="4"/>
    </row>
    <row r="1665" spans="14:14">
      <c r="N1665" s="4"/>
    </row>
    <row r="1666" spans="14:14">
      <c r="N1666" s="4"/>
    </row>
    <row r="1667" spans="14:14">
      <c r="N1667" s="4"/>
    </row>
    <row r="1668" spans="14:14">
      <c r="N1668" s="4"/>
    </row>
    <row r="1669" spans="14:14">
      <c r="N1669" s="4"/>
    </row>
    <row r="1670" spans="14:14">
      <c r="N1670" s="4"/>
    </row>
    <row r="1671" spans="14:14">
      <c r="N1671" s="4"/>
    </row>
    <row r="1672" spans="14:14">
      <c r="N1672" s="4"/>
    </row>
    <row r="1673" spans="14:14">
      <c r="N1673" s="4"/>
    </row>
    <row r="1674" spans="14:14">
      <c r="N1674" s="4"/>
    </row>
    <row r="1675" spans="14:14">
      <c r="N1675" s="4"/>
    </row>
    <row r="1676" spans="14:14">
      <c r="N1676" s="4"/>
    </row>
    <row r="1677" spans="14:14">
      <c r="N1677" s="4"/>
    </row>
    <row r="1678" spans="14:14">
      <c r="N1678" s="4"/>
    </row>
    <row r="1679" spans="14:14">
      <c r="N1679" s="4"/>
    </row>
    <row r="1680" spans="14:14">
      <c r="N1680" s="4"/>
    </row>
    <row r="1681" spans="14:14">
      <c r="N1681" s="4"/>
    </row>
    <row r="1682" spans="14:14">
      <c r="N1682" s="4"/>
    </row>
    <row r="1683" spans="14:14">
      <c r="N1683" s="4"/>
    </row>
    <row r="1684" spans="14:14">
      <c r="N1684" s="4"/>
    </row>
    <row r="1685" spans="14:14">
      <c r="N1685" s="4"/>
    </row>
    <row r="1686" spans="14:14">
      <c r="N1686" s="4"/>
    </row>
    <row r="1687" spans="14:14">
      <c r="N1687" s="4"/>
    </row>
    <row r="1688" spans="14:14">
      <c r="N1688" s="4"/>
    </row>
    <row r="1689" spans="14:14">
      <c r="N1689" s="4"/>
    </row>
    <row r="1690" spans="14:14">
      <c r="N1690" s="4"/>
    </row>
    <row r="1691" spans="14:14">
      <c r="N1691" s="4"/>
    </row>
    <row r="1692" spans="14:14">
      <c r="N1692" s="4"/>
    </row>
    <row r="1693" spans="14:14">
      <c r="N1693" s="4"/>
    </row>
    <row r="1694" spans="14:14">
      <c r="N1694" s="4"/>
    </row>
    <row r="1695" spans="14:14">
      <c r="N1695" s="4"/>
    </row>
    <row r="1696" spans="14:14">
      <c r="N1696" s="4"/>
    </row>
    <row r="1697" spans="14:14">
      <c r="N1697" s="4"/>
    </row>
    <row r="1698" spans="14:14">
      <c r="N1698" s="4"/>
    </row>
    <row r="1699" spans="14:14">
      <c r="N1699" s="4"/>
    </row>
    <row r="1700" spans="14:14">
      <c r="N1700" s="4"/>
    </row>
    <row r="1701" spans="14:14">
      <c r="N1701" s="4"/>
    </row>
    <row r="1702" spans="14:14">
      <c r="N1702" s="4"/>
    </row>
    <row r="1703" spans="14:14">
      <c r="N1703" s="4"/>
    </row>
    <row r="1704" spans="14:14">
      <c r="N1704" s="4"/>
    </row>
    <row r="1705" spans="14:14">
      <c r="N1705" s="4"/>
    </row>
    <row r="1706" spans="14:14">
      <c r="N1706" s="4"/>
    </row>
    <row r="1707" spans="14:14">
      <c r="N1707" s="4"/>
    </row>
    <row r="1708" spans="14:14">
      <c r="N1708" s="4"/>
    </row>
    <row r="1709" spans="14:14">
      <c r="N1709" s="4"/>
    </row>
    <row r="1710" spans="14:14">
      <c r="N1710" s="4"/>
    </row>
    <row r="1711" spans="14:14">
      <c r="N1711" s="4"/>
    </row>
    <row r="1712" spans="14:14">
      <c r="N1712" s="4"/>
    </row>
    <row r="1713" spans="14:14">
      <c r="N1713" s="4"/>
    </row>
    <row r="1714" spans="14:14">
      <c r="N1714" s="4"/>
    </row>
    <row r="1715" spans="14:14">
      <c r="N1715" s="4"/>
    </row>
    <row r="1716" spans="14:14">
      <c r="N1716" s="4"/>
    </row>
    <row r="1717" spans="14:14">
      <c r="N1717" s="4"/>
    </row>
    <row r="1718" spans="14:14">
      <c r="N1718" s="4"/>
    </row>
    <row r="1719" spans="14:14">
      <c r="N1719" s="4"/>
    </row>
    <row r="1720" spans="14:14">
      <c r="N1720" s="4"/>
    </row>
    <row r="1721" spans="14:14">
      <c r="N1721" s="4"/>
    </row>
    <row r="1722" spans="14:14">
      <c r="N1722" s="4"/>
    </row>
    <row r="1723" spans="14:14">
      <c r="N1723" s="4"/>
    </row>
    <row r="1724" spans="14:14">
      <c r="N1724" s="4"/>
    </row>
    <row r="1725" spans="14:14">
      <c r="N1725" s="4"/>
    </row>
    <row r="1726" spans="14:14">
      <c r="N1726" s="4"/>
    </row>
    <row r="1727" spans="14:14">
      <c r="N1727" s="4"/>
    </row>
    <row r="1728" spans="14:14">
      <c r="N1728" s="4"/>
    </row>
    <row r="1729" spans="14:14">
      <c r="N1729" s="4"/>
    </row>
    <row r="1730" spans="14:14">
      <c r="N1730" s="4"/>
    </row>
    <row r="1731" spans="14:14">
      <c r="N1731" s="4"/>
    </row>
    <row r="1732" spans="14:14">
      <c r="N1732" s="4"/>
    </row>
    <row r="1733" spans="14:14">
      <c r="N1733" s="4"/>
    </row>
    <row r="1734" spans="14:14">
      <c r="N1734" s="4"/>
    </row>
    <row r="1735" spans="14:14">
      <c r="N1735" s="4"/>
    </row>
    <row r="1736" spans="14:14">
      <c r="N1736" s="4"/>
    </row>
    <row r="1737" spans="14:14">
      <c r="N1737" s="4"/>
    </row>
    <row r="1738" spans="14:14">
      <c r="N1738" s="4"/>
    </row>
    <row r="1739" spans="14:14">
      <c r="N1739" s="4"/>
    </row>
    <row r="1740" spans="14:14">
      <c r="N1740" s="4"/>
    </row>
    <row r="1741" spans="14:14">
      <c r="N1741" s="4"/>
    </row>
    <row r="1742" spans="14:14">
      <c r="N1742" s="4"/>
    </row>
    <row r="1743" spans="14:14">
      <c r="N1743" s="4"/>
    </row>
    <row r="1744" spans="14:14">
      <c r="N1744" s="4"/>
    </row>
    <row r="1745" spans="14:14">
      <c r="N1745" s="4"/>
    </row>
    <row r="1746" spans="14:14">
      <c r="N1746" s="4"/>
    </row>
    <row r="1747" spans="14:14">
      <c r="N1747" s="4"/>
    </row>
    <row r="1748" spans="14:14">
      <c r="N1748" s="4"/>
    </row>
    <row r="1749" spans="14:14">
      <c r="N1749" s="4"/>
    </row>
    <row r="1750" spans="14:14">
      <c r="N1750" s="4"/>
    </row>
    <row r="1751" spans="14:14">
      <c r="N1751" s="4"/>
    </row>
    <row r="1752" spans="14:14">
      <c r="N1752" s="4"/>
    </row>
    <row r="1753" spans="14:14">
      <c r="N1753" s="4"/>
    </row>
    <row r="1754" spans="14:14">
      <c r="N1754" s="4"/>
    </row>
    <row r="1755" spans="14:14">
      <c r="N1755" s="4"/>
    </row>
    <row r="1756" spans="14:14">
      <c r="N1756" s="4"/>
    </row>
    <row r="1757" spans="14:14">
      <c r="N1757" s="4"/>
    </row>
    <row r="1758" spans="14:14">
      <c r="N1758" s="4"/>
    </row>
    <row r="1759" spans="14:14">
      <c r="N1759" s="4"/>
    </row>
    <row r="1760" spans="14:14">
      <c r="N1760" s="4"/>
    </row>
    <row r="1761" spans="14:14">
      <c r="N1761" s="4"/>
    </row>
    <row r="1762" spans="14:14">
      <c r="N1762" s="4"/>
    </row>
    <row r="1763" spans="14:14">
      <c r="N1763" s="4"/>
    </row>
    <row r="1764" spans="14:14">
      <c r="N1764" s="4"/>
    </row>
    <row r="1765" spans="14:14">
      <c r="N1765" s="4"/>
    </row>
    <row r="1766" spans="14:14">
      <c r="N1766" s="4"/>
    </row>
    <row r="1767" spans="14:14">
      <c r="N1767" s="4"/>
    </row>
    <row r="1768" spans="14:14">
      <c r="N1768" s="4"/>
    </row>
    <row r="1769" spans="14:14">
      <c r="N1769" s="4"/>
    </row>
    <row r="1770" spans="14:14">
      <c r="N1770" s="4"/>
    </row>
    <row r="1771" spans="14:14">
      <c r="N1771" s="4"/>
    </row>
    <row r="1772" spans="14:14">
      <c r="N1772" s="4"/>
    </row>
    <row r="1773" spans="14:14">
      <c r="N1773" s="4"/>
    </row>
    <row r="1774" spans="14:14">
      <c r="N1774" s="4"/>
    </row>
    <row r="1775" spans="14:14">
      <c r="N1775" s="4"/>
    </row>
    <row r="1776" spans="14:14">
      <c r="N1776" s="4"/>
    </row>
    <row r="1777" spans="14:14">
      <c r="N1777" s="4"/>
    </row>
    <row r="1778" spans="14:14">
      <c r="N1778" s="4"/>
    </row>
    <row r="1779" spans="14:14">
      <c r="N1779" s="4"/>
    </row>
    <row r="1780" spans="14:14">
      <c r="N1780" s="4"/>
    </row>
    <row r="1781" spans="14:14">
      <c r="N1781" s="4"/>
    </row>
    <row r="1782" spans="14:14">
      <c r="N1782" s="4"/>
    </row>
    <row r="1783" spans="14:14">
      <c r="N1783" s="4"/>
    </row>
    <row r="1784" spans="14:14">
      <c r="N1784" s="4"/>
    </row>
    <row r="1785" spans="14:14">
      <c r="N1785" s="4"/>
    </row>
    <row r="1786" spans="14:14">
      <c r="N1786" s="4"/>
    </row>
    <row r="1787" spans="14:14">
      <c r="N1787" s="4"/>
    </row>
    <row r="1788" spans="14:14">
      <c r="N1788" s="4"/>
    </row>
    <row r="1789" spans="14:14">
      <c r="N1789" s="4"/>
    </row>
    <row r="1790" spans="14:14">
      <c r="N1790" s="4"/>
    </row>
    <row r="1791" spans="14:14">
      <c r="N1791" s="4"/>
    </row>
    <row r="1792" spans="14:14">
      <c r="N1792" s="4"/>
    </row>
    <row r="1793" spans="14:14">
      <c r="N1793" s="4"/>
    </row>
    <row r="1794" spans="14:14">
      <c r="N1794" s="4"/>
    </row>
    <row r="1795" spans="14:14">
      <c r="N1795" s="4"/>
    </row>
    <row r="1796" spans="14:14">
      <c r="N1796" s="4"/>
    </row>
    <row r="1797" spans="14:14">
      <c r="N1797" s="4"/>
    </row>
    <row r="1798" spans="14:14">
      <c r="N1798" s="4"/>
    </row>
    <row r="1799" spans="14:14">
      <c r="N1799" s="4"/>
    </row>
    <row r="1800" spans="14:14">
      <c r="N1800" s="4"/>
    </row>
    <row r="1801" spans="14:14">
      <c r="N1801" s="4"/>
    </row>
    <row r="1802" spans="14:14">
      <c r="N1802" s="4"/>
    </row>
    <row r="1803" spans="14:14">
      <c r="N1803" s="4"/>
    </row>
    <row r="1804" spans="14:14">
      <c r="N1804" s="4"/>
    </row>
    <row r="1805" spans="14:14">
      <c r="N1805" s="4"/>
    </row>
    <row r="1806" spans="14:14">
      <c r="N1806" s="4"/>
    </row>
    <row r="1807" spans="14:14">
      <c r="N1807" s="4"/>
    </row>
    <row r="1808" spans="14:14">
      <c r="N1808" s="4"/>
    </row>
    <row r="1809" spans="14:14">
      <c r="N1809" s="4"/>
    </row>
    <row r="1810" spans="14:14">
      <c r="N1810" s="4"/>
    </row>
    <row r="1811" spans="14:14">
      <c r="N1811" s="4"/>
    </row>
    <row r="1812" spans="14:14">
      <c r="N1812" s="4"/>
    </row>
    <row r="1813" spans="14:14">
      <c r="N1813" s="4"/>
    </row>
    <row r="1814" spans="14:14">
      <c r="N1814" s="4"/>
    </row>
    <row r="1815" spans="14:14">
      <c r="N1815" s="4"/>
    </row>
    <row r="1816" spans="14:14">
      <c r="N1816" s="4"/>
    </row>
    <row r="1817" spans="14:14">
      <c r="N1817" s="4"/>
    </row>
    <row r="1818" spans="14:14">
      <c r="N1818" s="4"/>
    </row>
    <row r="1819" spans="14:14">
      <c r="N1819" s="4"/>
    </row>
    <row r="1820" spans="14:14">
      <c r="N1820" s="4"/>
    </row>
    <row r="1821" spans="14:14">
      <c r="N1821" s="4"/>
    </row>
    <row r="1822" spans="14:14">
      <c r="N1822" s="4"/>
    </row>
    <row r="1823" spans="14:14">
      <c r="N1823" s="4"/>
    </row>
    <row r="1824" spans="14:14">
      <c r="N1824" s="4"/>
    </row>
    <row r="1825" spans="14:14">
      <c r="N1825" s="4"/>
    </row>
    <row r="1826" spans="14:14">
      <c r="N1826" s="4"/>
    </row>
    <row r="1827" spans="14:14">
      <c r="N1827" s="4"/>
    </row>
    <row r="1828" spans="14:14">
      <c r="N1828" s="4"/>
    </row>
    <row r="1829" spans="14:14">
      <c r="N1829" s="4"/>
    </row>
    <row r="1830" spans="14:14">
      <c r="N1830" s="4"/>
    </row>
    <row r="1831" spans="14:14">
      <c r="N1831" s="4"/>
    </row>
    <row r="1832" spans="14:14">
      <c r="N1832" s="4"/>
    </row>
    <row r="1833" spans="14:14">
      <c r="N1833" s="4"/>
    </row>
    <row r="1834" spans="14:14">
      <c r="N1834" s="4"/>
    </row>
    <row r="1835" spans="14:14">
      <c r="N1835" s="4"/>
    </row>
    <row r="1836" spans="14:14">
      <c r="N1836" s="4"/>
    </row>
    <row r="1837" spans="14:14">
      <c r="N1837" s="4"/>
    </row>
    <row r="1838" spans="14:14">
      <c r="N1838" s="4"/>
    </row>
    <row r="1839" spans="14:14">
      <c r="N1839" s="4"/>
    </row>
    <row r="1840" spans="14:14">
      <c r="N1840" s="4"/>
    </row>
    <row r="1841" spans="14:14">
      <c r="N1841" s="4"/>
    </row>
    <row r="1842" spans="14:14">
      <c r="N1842" s="4"/>
    </row>
    <row r="1843" spans="14:14">
      <c r="N1843" s="4"/>
    </row>
    <row r="1844" spans="14:14">
      <c r="N1844" s="4"/>
    </row>
    <row r="1845" spans="14:14">
      <c r="N1845" s="4"/>
    </row>
    <row r="1846" spans="14:14">
      <c r="N1846" s="4"/>
    </row>
    <row r="1847" spans="14:14">
      <c r="N1847" s="4"/>
    </row>
    <row r="1848" spans="14:14">
      <c r="N1848" s="4"/>
    </row>
    <row r="1849" spans="14:14">
      <c r="N1849" s="4"/>
    </row>
    <row r="1850" spans="14:14">
      <c r="N1850" s="4"/>
    </row>
    <row r="1851" spans="14:14">
      <c r="N1851" s="4"/>
    </row>
    <row r="1852" spans="14:14">
      <c r="N1852" s="4"/>
    </row>
    <row r="1853" spans="14:14">
      <c r="N1853" s="4"/>
    </row>
    <row r="1854" spans="14:14">
      <c r="N1854" s="4"/>
    </row>
    <row r="1855" spans="14:14">
      <c r="N1855" s="4"/>
    </row>
    <row r="1856" spans="14:14">
      <c r="N1856" s="4"/>
    </row>
    <row r="1857" spans="14:14">
      <c r="N1857" s="4"/>
    </row>
    <row r="1858" spans="14:14">
      <c r="N1858" s="4"/>
    </row>
    <row r="1859" spans="14:14">
      <c r="N1859" s="4"/>
    </row>
    <row r="1860" spans="14:14">
      <c r="N1860" s="4"/>
    </row>
    <row r="1861" spans="14:14">
      <c r="N1861" s="4"/>
    </row>
    <row r="1862" spans="14:14">
      <c r="N1862" s="4"/>
    </row>
    <row r="1863" spans="14:14">
      <c r="N1863" s="4"/>
    </row>
    <row r="1864" spans="14:14">
      <c r="N1864" s="4"/>
    </row>
    <row r="1865" spans="14:14">
      <c r="N1865" s="4"/>
    </row>
    <row r="1866" spans="14:14">
      <c r="N1866" s="4"/>
    </row>
    <row r="1867" spans="14:14">
      <c r="N1867" s="4"/>
    </row>
    <row r="1868" spans="14:14">
      <c r="N1868" s="4"/>
    </row>
    <row r="1869" spans="14:14">
      <c r="N1869" s="4"/>
    </row>
    <row r="1870" spans="14:14">
      <c r="N1870" s="4"/>
    </row>
    <row r="1871" spans="14:14">
      <c r="N1871" s="4"/>
    </row>
    <row r="1872" spans="14:14">
      <c r="N1872" s="4"/>
    </row>
    <row r="1873" spans="14:14">
      <c r="N1873" s="4"/>
    </row>
    <row r="1874" spans="14:14">
      <c r="N1874" s="4"/>
    </row>
    <row r="1875" spans="14:14">
      <c r="N1875" s="4"/>
    </row>
    <row r="1876" spans="14:14">
      <c r="N1876" s="4"/>
    </row>
    <row r="1877" spans="14:14">
      <c r="N1877" s="4"/>
    </row>
    <row r="1878" spans="14:14">
      <c r="N1878" s="4"/>
    </row>
    <row r="1879" spans="14:14">
      <c r="N1879" s="4"/>
    </row>
    <row r="1880" spans="14:14">
      <c r="N1880" s="4"/>
    </row>
    <row r="1881" spans="14:14">
      <c r="N1881" s="4"/>
    </row>
    <row r="1882" spans="14:14">
      <c r="N1882" s="4"/>
    </row>
    <row r="1883" spans="14:14">
      <c r="N1883" s="4"/>
    </row>
    <row r="1884" spans="14:14">
      <c r="N1884" s="4"/>
    </row>
    <row r="1885" spans="14:14">
      <c r="N1885" s="4"/>
    </row>
    <row r="1886" spans="14:14">
      <c r="N1886" s="4"/>
    </row>
    <row r="1887" spans="14:14">
      <c r="N1887" s="4"/>
    </row>
    <row r="1888" spans="14:14">
      <c r="N1888" s="4"/>
    </row>
    <row r="1889" spans="14:14">
      <c r="N1889" s="4"/>
    </row>
    <row r="1890" spans="14:14">
      <c r="N1890" s="4"/>
    </row>
    <row r="1891" spans="14:14">
      <c r="N1891" s="4"/>
    </row>
    <row r="1892" spans="14:14">
      <c r="N1892" s="4"/>
    </row>
    <row r="1893" spans="14:14">
      <c r="N1893" s="4"/>
    </row>
    <row r="1894" spans="14:14">
      <c r="N1894" s="4"/>
    </row>
    <row r="1895" spans="14:14">
      <c r="N1895" s="4"/>
    </row>
    <row r="1896" spans="14:14">
      <c r="N1896" s="4"/>
    </row>
    <row r="1897" spans="14:14">
      <c r="N1897" s="4"/>
    </row>
    <row r="1898" spans="14:14">
      <c r="N1898" s="4"/>
    </row>
    <row r="1899" spans="14:14">
      <c r="N1899" s="4"/>
    </row>
    <row r="1900" spans="14:14">
      <c r="N1900" s="4"/>
    </row>
    <row r="1901" spans="14:14">
      <c r="N1901" s="4"/>
    </row>
    <row r="1902" spans="14:14">
      <c r="N1902" s="4"/>
    </row>
    <row r="1903" spans="14:14">
      <c r="N1903" s="4"/>
    </row>
    <row r="1904" spans="14:14">
      <c r="N1904" s="4"/>
    </row>
    <row r="1905" spans="14:14">
      <c r="N1905" s="4"/>
    </row>
    <row r="1906" spans="14:14">
      <c r="N1906" s="4"/>
    </row>
    <row r="1907" spans="14:14">
      <c r="N1907" s="4"/>
    </row>
    <row r="1908" spans="14:14">
      <c r="N1908" s="4"/>
    </row>
    <row r="1909" spans="14:14">
      <c r="N1909" s="4"/>
    </row>
    <row r="1910" spans="14:14">
      <c r="N1910" s="4"/>
    </row>
    <row r="1911" spans="14:14">
      <c r="N1911" s="4"/>
    </row>
    <row r="1912" spans="14:14">
      <c r="N1912" s="4"/>
    </row>
    <row r="1913" spans="14:14">
      <c r="N1913" s="4"/>
    </row>
    <row r="1914" spans="14:14">
      <c r="N1914" s="4"/>
    </row>
    <row r="1915" spans="14:14">
      <c r="N1915" s="4"/>
    </row>
    <row r="1916" spans="14:14">
      <c r="N1916" s="4"/>
    </row>
    <row r="1917" spans="14:14">
      <c r="N1917" s="4"/>
    </row>
    <row r="1918" spans="14:14">
      <c r="N1918" s="4"/>
    </row>
    <row r="1919" spans="14:14">
      <c r="N1919" s="4"/>
    </row>
    <row r="1920" spans="14:14">
      <c r="N1920" s="4"/>
    </row>
    <row r="1921" spans="14:14">
      <c r="N1921" s="4"/>
    </row>
    <row r="1922" spans="14:14">
      <c r="N1922" s="4"/>
    </row>
    <row r="1923" spans="14:14">
      <c r="N1923" s="4"/>
    </row>
    <row r="1924" spans="14:14">
      <c r="N1924" s="4"/>
    </row>
    <row r="1925" spans="14:14">
      <c r="N1925" s="4"/>
    </row>
    <row r="1926" spans="14:14">
      <c r="N1926" s="4"/>
    </row>
    <row r="1927" spans="14:14">
      <c r="N1927" s="4"/>
    </row>
    <row r="1928" spans="14:14">
      <c r="N1928" s="4"/>
    </row>
    <row r="1929" spans="14:14">
      <c r="N1929" s="4"/>
    </row>
    <row r="1930" spans="14:14">
      <c r="N1930" s="4"/>
    </row>
    <row r="1931" spans="14:14">
      <c r="N1931" s="4"/>
    </row>
    <row r="1932" spans="14:14">
      <c r="N1932" s="4"/>
    </row>
    <row r="1933" spans="14:14">
      <c r="N1933" s="4"/>
    </row>
    <row r="1934" spans="14:14">
      <c r="N1934" s="4"/>
    </row>
    <row r="1935" spans="14:14">
      <c r="N1935" s="4"/>
    </row>
    <row r="1936" spans="14:14">
      <c r="N1936" s="4"/>
    </row>
    <row r="1937" spans="14:14">
      <c r="N1937" s="4"/>
    </row>
    <row r="1938" spans="14:14">
      <c r="N1938" s="4"/>
    </row>
    <row r="1939" spans="14:14">
      <c r="N1939" s="4"/>
    </row>
    <row r="1940" spans="14:14">
      <c r="N1940" s="4"/>
    </row>
    <row r="1941" spans="14:14">
      <c r="N1941" s="4"/>
    </row>
    <row r="1942" spans="14:14">
      <c r="N1942" s="4"/>
    </row>
    <row r="1943" spans="14:14">
      <c r="N1943" s="4"/>
    </row>
    <row r="1944" spans="14:14">
      <c r="N1944" s="4"/>
    </row>
    <row r="1945" spans="14:14">
      <c r="N1945" s="4"/>
    </row>
    <row r="1946" spans="14:14">
      <c r="N1946" s="4"/>
    </row>
    <row r="1947" spans="14:14">
      <c r="N1947" s="4"/>
    </row>
    <row r="1948" spans="14:14">
      <c r="N1948" s="4"/>
    </row>
    <row r="1949" spans="14:14">
      <c r="N1949" s="4"/>
    </row>
    <row r="1950" spans="14:14">
      <c r="N1950" s="4"/>
    </row>
    <row r="1951" spans="14:14">
      <c r="N1951" s="4"/>
    </row>
    <row r="1952" spans="14:14">
      <c r="N1952" s="4"/>
    </row>
    <row r="1953" spans="14:14">
      <c r="N1953" s="4"/>
    </row>
    <row r="1954" spans="14:14">
      <c r="N1954" s="4"/>
    </row>
    <row r="1955" spans="14:14">
      <c r="N1955" s="4"/>
    </row>
    <row r="1956" spans="14:14">
      <c r="N1956" s="4"/>
    </row>
    <row r="1957" spans="14:14">
      <c r="N1957" s="4"/>
    </row>
    <row r="1958" spans="14:14">
      <c r="N1958" s="4"/>
    </row>
    <row r="1959" spans="14:14">
      <c r="N1959" s="4"/>
    </row>
    <row r="1960" spans="14:14">
      <c r="N1960" s="4"/>
    </row>
    <row r="1961" spans="14:14">
      <c r="N1961" s="4"/>
    </row>
    <row r="1962" spans="14:14">
      <c r="N1962" s="4"/>
    </row>
    <row r="1963" spans="14:14">
      <c r="N1963" s="4"/>
    </row>
    <row r="1964" spans="14:14">
      <c r="N1964" s="4"/>
    </row>
    <row r="1965" spans="14:14">
      <c r="N1965" s="4"/>
    </row>
    <row r="1966" spans="14:14">
      <c r="N1966" s="4"/>
    </row>
    <row r="1967" spans="14:14">
      <c r="N1967" s="4"/>
    </row>
    <row r="1968" spans="14:14">
      <c r="N1968" s="4"/>
    </row>
    <row r="1969" spans="14:14">
      <c r="N1969" s="4"/>
    </row>
    <row r="1970" spans="14:14">
      <c r="N1970" s="4"/>
    </row>
    <row r="1971" spans="14:14">
      <c r="N1971" s="4"/>
    </row>
    <row r="1972" spans="14:14">
      <c r="N1972" s="4"/>
    </row>
    <row r="1973" spans="14:14">
      <c r="N1973" s="4"/>
    </row>
    <row r="1974" spans="14:14">
      <c r="N1974" s="4"/>
    </row>
    <row r="1975" spans="14:14">
      <c r="N1975" s="4"/>
    </row>
    <row r="1976" spans="14:14">
      <c r="N1976" s="4"/>
    </row>
    <row r="1977" spans="14:14">
      <c r="N1977" s="4"/>
    </row>
    <row r="1978" spans="14:14">
      <c r="N1978" s="4"/>
    </row>
    <row r="1979" spans="14:14">
      <c r="N1979" s="4"/>
    </row>
    <row r="1980" spans="14:14">
      <c r="N1980" s="4"/>
    </row>
    <row r="1981" spans="14:14">
      <c r="N1981" s="4"/>
    </row>
    <row r="1982" spans="14:14">
      <c r="N1982" s="4"/>
    </row>
    <row r="1983" spans="14:14">
      <c r="N1983" s="4"/>
    </row>
    <row r="1984" spans="14:14">
      <c r="N1984" s="4"/>
    </row>
    <row r="1985" spans="14:14">
      <c r="N1985" s="4"/>
    </row>
    <row r="1986" spans="14:14">
      <c r="N1986" s="4"/>
    </row>
    <row r="1987" spans="14:14">
      <c r="N1987" s="4"/>
    </row>
    <row r="1988" spans="14:14">
      <c r="N1988" s="4"/>
    </row>
    <row r="1989" spans="14:14">
      <c r="N1989" s="4"/>
    </row>
    <row r="1990" spans="14:14">
      <c r="N1990" s="4"/>
    </row>
    <row r="1991" spans="14:14">
      <c r="N1991" s="4"/>
    </row>
    <row r="1992" spans="14:14">
      <c r="N1992" s="4"/>
    </row>
    <row r="1993" spans="14:14">
      <c r="N1993" s="4"/>
    </row>
    <row r="1994" spans="14:14">
      <c r="N1994" s="4"/>
    </row>
    <row r="1995" spans="14:14">
      <c r="N1995" s="4"/>
    </row>
    <row r="1996" spans="14:14">
      <c r="N1996" s="4"/>
    </row>
    <row r="1997" spans="14:14">
      <c r="N1997" s="4"/>
    </row>
    <row r="1998" spans="14:14">
      <c r="N1998" s="4"/>
    </row>
    <row r="1999" spans="14:14">
      <c r="N1999" s="4"/>
    </row>
    <row r="2000" spans="14:14">
      <c r="N2000" s="4"/>
    </row>
    <row r="2001" spans="14:14">
      <c r="N2001" s="4"/>
    </row>
    <row r="2002" spans="14:14">
      <c r="N2002" s="4"/>
    </row>
    <row r="2003" spans="14:14">
      <c r="N2003" s="4"/>
    </row>
    <row r="2004" spans="14:14">
      <c r="N2004" s="4"/>
    </row>
    <row r="2005" spans="14:14">
      <c r="N2005" s="4"/>
    </row>
    <row r="2006" spans="14:14">
      <c r="N2006" s="4"/>
    </row>
    <row r="2007" spans="14:14">
      <c r="N2007" s="4"/>
    </row>
    <row r="2008" spans="14:14">
      <c r="N2008" s="4"/>
    </row>
    <row r="2009" spans="14:14">
      <c r="N2009" s="4"/>
    </row>
    <row r="2010" spans="14:14">
      <c r="N2010" s="4"/>
    </row>
    <row r="2011" spans="14:14">
      <c r="N2011" s="4"/>
    </row>
    <row r="2012" spans="14:14">
      <c r="N2012" s="4"/>
    </row>
    <row r="2013" spans="14:14">
      <c r="N2013" s="4"/>
    </row>
    <row r="2014" spans="14:14">
      <c r="N2014" s="4"/>
    </row>
    <row r="2015" spans="14:14">
      <c r="N2015" s="4"/>
    </row>
    <row r="2016" spans="14:14">
      <c r="N2016" s="4"/>
    </row>
    <row r="2017" spans="14:14">
      <c r="N2017" s="4"/>
    </row>
    <row r="2018" spans="14:14">
      <c r="N2018" s="4"/>
    </row>
    <row r="2019" spans="14:14">
      <c r="N2019" s="4"/>
    </row>
    <row r="2020" spans="14:14">
      <c r="N2020" s="4"/>
    </row>
    <row r="2021" spans="14:14">
      <c r="N2021" s="4"/>
    </row>
    <row r="2022" spans="14:14">
      <c r="N2022" s="4"/>
    </row>
    <row r="2023" spans="14:14">
      <c r="N2023" s="4"/>
    </row>
    <row r="2024" spans="14:14">
      <c r="N2024" s="4"/>
    </row>
    <row r="2025" spans="14:14">
      <c r="N2025" s="4"/>
    </row>
    <row r="2026" spans="14:14">
      <c r="N2026" s="4"/>
    </row>
    <row r="2027" spans="14:14">
      <c r="N2027" s="4"/>
    </row>
    <row r="2028" spans="14:14">
      <c r="N2028" s="4"/>
    </row>
    <row r="2029" spans="14:14">
      <c r="N2029" s="4"/>
    </row>
    <row r="2030" spans="14:14">
      <c r="N2030" s="4"/>
    </row>
    <row r="2031" spans="14:14">
      <c r="N2031" s="4"/>
    </row>
    <row r="2032" spans="14:14">
      <c r="N2032" s="4"/>
    </row>
    <row r="2033" spans="14:14">
      <c r="N2033" s="4"/>
    </row>
    <row r="2034" spans="14:14">
      <c r="N2034" s="4"/>
    </row>
    <row r="2035" spans="14:14">
      <c r="N2035" s="4"/>
    </row>
    <row r="2036" spans="14:14">
      <c r="N2036" s="4"/>
    </row>
    <row r="2037" spans="14:14">
      <c r="N2037" s="4"/>
    </row>
    <row r="2038" spans="14:14">
      <c r="N2038" s="4"/>
    </row>
    <row r="2039" spans="14:14">
      <c r="N2039" s="4"/>
    </row>
    <row r="2040" spans="14:14">
      <c r="N2040" s="4"/>
    </row>
    <row r="2041" spans="14:14">
      <c r="N2041" s="4"/>
    </row>
    <row r="2042" spans="14:14">
      <c r="N2042" s="4"/>
    </row>
    <row r="2043" spans="14:14">
      <c r="N2043" s="4"/>
    </row>
    <row r="2044" spans="14:14">
      <c r="N2044" s="4"/>
    </row>
    <row r="2045" spans="14:14">
      <c r="N2045" s="4"/>
    </row>
    <row r="2046" spans="14:14">
      <c r="N2046" s="4"/>
    </row>
    <row r="2047" spans="14:14">
      <c r="N2047" s="4"/>
    </row>
    <row r="2048" spans="14:14">
      <c r="N2048" s="4"/>
    </row>
    <row r="2049" spans="14:14">
      <c r="N2049" s="4"/>
    </row>
    <row r="2050" spans="14:14">
      <c r="N2050" s="4"/>
    </row>
    <row r="2051" spans="14:14">
      <c r="N2051" s="4"/>
    </row>
    <row r="2052" spans="14:14">
      <c r="N2052" s="4"/>
    </row>
    <row r="2053" spans="14:14">
      <c r="N2053" s="4"/>
    </row>
    <row r="2054" spans="14:14">
      <c r="N2054" s="4"/>
    </row>
    <row r="2055" spans="14:14">
      <c r="N2055" s="4"/>
    </row>
    <row r="2056" spans="14:14">
      <c r="N2056" s="4"/>
    </row>
    <row r="2057" spans="14:14">
      <c r="N2057" s="4"/>
    </row>
    <row r="2058" spans="14:14">
      <c r="N2058" s="4"/>
    </row>
    <row r="2059" spans="14:14">
      <c r="N2059" s="4"/>
    </row>
    <row r="2060" spans="14:14">
      <c r="N2060" s="4"/>
    </row>
    <row r="2061" spans="14:14">
      <c r="N2061" s="4"/>
    </row>
    <row r="2062" spans="14:14">
      <c r="N2062" s="4"/>
    </row>
    <row r="2063" spans="14:14">
      <c r="N2063" s="4"/>
    </row>
    <row r="2064" spans="14:14">
      <c r="N2064" s="4"/>
    </row>
    <row r="2065" spans="14:14">
      <c r="N2065" s="4"/>
    </row>
    <row r="2066" spans="14:14">
      <c r="N2066" s="4"/>
    </row>
    <row r="2067" spans="14:14">
      <c r="N2067" s="4"/>
    </row>
    <row r="2068" spans="14:14">
      <c r="N2068" s="4"/>
    </row>
    <row r="2069" spans="14:14">
      <c r="N2069" s="4"/>
    </row>
    <row r="2070" spans="14:14">
      <c r="N2070" s="4"/>
    </row>
    <row r="2071" spans="14:14">
      <c r="N2071" s="4"/>
    </row>
    <row r="2072" spans="14:14">
      <c r="N2072" s="4"/>
    </row>
    <row r="2073" spans="14:14">
      <c r="N2073" s="4"/>
    </row>
    <row r="2074" spans="14:14">
      <c r="N2074" s="4"/>
    </row>
    <row r="2075" spans="14:14">
      <c r="N2075" s="4"/>
    </row>
    <row r="2076" spans="14:14">
      <c r="N2076" s="4"/>
    </row>
    <row r="2077" spans="14:14">
      <c r="N2077" s="4"/>
    </row>
    <row r="2078" spans="14:14">
      <c r="N2078" s="4"/>
    </row>
    <row r="2079" spans="14:14">
      <c r="N2079" s="4"/>
    </row>
    <row r="2080" spans="14:14">
      <c r="N2080" s="4"/>
    </row>
    <row r="2081" spans="14:14">
      <c r="N2081" s="4"/>
    </row>
    <row r="2082" spans="14:14">
      <c r="N2082" s="4"/>
    </row>
    <row r="2083" spans="14:14">
      <c r="N2083" s="4"/>
    </row>
    <row r="2084" spans="14:14">
      <c r="N2084" s="4"/>
    </row>
    <row r="2085" spans="14:14">
      <c r="N2085" s="4"/>
    </row>
    <row r="2086" spans="14:14">
      <c r="N2086" s="4"/>
    </row>
    <row r="2087" spans="14:14">
      <c r="N2087" s="4"/>
    </row>
    <row r="2088" spans="14:14">
      <c r="N2088" s="4"/>
    </row>
    <row r="2089" spans="14:14">
      <c r="N2089" s="4"/>
    </row>
    <row r="2090" spans="14:14">
      <c r="N2090" s="4"/>
    </row>
    <row r="2091" spans="14:14">
      <c r="N2091" s="4"/>
    </row>
    <row r="2092" spans="14:14">
      <c r="N2092" s="4"/>
    </row>
    <row r="2093" spans="14:14">
      <c r="N2093" s="4"/>
    </row>
    <row r="2094" spans="14:14">
      <c r="N2094" s="4"/>
    </row>
    <row r="2095" spans="14:14">
      <c r="N2095" s="4"/>
    </row>
    <row r="2096" spans="14:14">
      <c r="N2096" s="4"/>
    </row>
    <row r="2097" spans="14:14">
      <c r="N2097" s="4"/>
    </row>
    <row r="2098" spans="14:14">
      <c r="N2098" s="4"/>
    </row>
    <row r="2099" spans="14:14">
      <c r="N2099" s="4"/>
    </row>
    <row r="2100" spans="14:14">
      <c r="N2100" s="4"/>
    </row>
    <row r="2101" spans="14:14">
      <c r="N2101" s="4"/>
    </row>
    <row r="2102" spans="14:14">
      <c r="N2102" s="4"/>
    </row>
    <row r="2103" spans="14:14">
      <c r="N2103" s="4"/>
    </row>
    <row r="2104" spans="14:14">
      <c r="N2104" s="4"/>
    </row>
    <row r="2105" spans="14:14">
      <c r="N2105" s="4"/>
    </row>
    <row r="2106" spans="14:14">
      <c r="N2106" s="4"/>
    </row>
    <row r="2107" spans="14:14">
      <c r="N2107" s="4"/>
    </row>
    <row r="2108" spans="14:14">
      <c r="N2108" s="4"/>
    </row>
    <row r="2109" spans="14:14">
      <c r="N2109" s="4"/>
    </row>
    <row r="2110" spans="14:14">
      <c r="N2110" s="4"/>
    </row>
    <row r="2111" spans="14:14">
      <c r="N2111" s="4"/>
    </row>
    <row r="2112" spans="14:14">
      <c r="N2112" s="4"/>
    </row>
    <row r="2113" spans="14:14">
      <c r="N2113" s="4"/>
    </row>
    <row r="2114" spans="14:14">
      <c r="N2114" s="4"/>
    </row>
    <row r="2115" spans="14:14">
      <c r="N2115" s="4"/>
    </row>
    <row r="2116" spans="14:14">
      <c r="N2116" s="4"/>
    </row>
    <row r="2117" spans="14:14">
      <c r="N2117" s="4"/>
    </row>
    <row r="2118" spans="14:14">
      <c r="N2118" s="4"/>
    </row>
    <row r="2119" spans="14:14">
      <c r="N2119" s="4"/>
    </row>
    <row r="2120" spans="14:14">
      <c r="N2120" s="4"/>
    </row>
    <row r="2121" spans="14:14">
      <c r="N2121" s="4"/>
    </row>
    <row r="2122" spans="14:14">
      <c r="N2122" s="4"/>
    </row>
    <row r="2123" spans="14:14">
      <c r="N2123" s="4"/>
    </row>
    <row r="2124" spans="14:14">
      <c r="N2124" s="4"/>
    </row>
    <row r="2125" spans="14:14">
      <c r="N2125" s="4"/>
    </row>
    <row r="2126" spans="14:14">
      <c r="N2126" s="4"/>
    </row>
    <row r="2127" spans="14:14">
      <c r="N2127" s="4"/>
    </row>
    <row r="2128" spans="14:14">
      <c r="N2128" s="4"/>
    </row>
    <row r="2129" spans="14:14">
      <c r="N2129" s="4"/>
    </row>
    <row r="2130" spans="14:14">
      <c r="N2130" s="4"/>
    </row>
    <row r="2131" spans="14:14">
      <c r="N2131" s="4"/>
    </row>
    <row r="2132" spans="14:14">
      <c r="N2132" s="4"/>
    </row>
    <row r="2133" spans="14:14">
      <c r="N2133" s="4"/>
    </row>
    <row r="2134" spans="14:14">
      <c r="N2134" s="4"/>
    </row>
    <row r="2135" spans="14:14">
      <c r="N2135" s="4"/>
    </row>
    <row r="2136" spans="14:14">
      <c r="N2136" s="4"/>
    </row>
    <row r="2137" spans="14:14">
      <c r="N2137" s="4"/>
    </row>
    <row r="2138" spans="14:14">
      <c r="N2138" s="4"/>
    </row>
    <row r="2139" spans="14:14">
      <c r="N2139" s="4"/>
    </row>
    <row r="2140" spans="14:14">
      <c r="N2140" s="4"/>
    </row>
    <row r="2141" spans="14:14">
      <c r="N2141" s="4"/>
    </row>
    <row r="2142" spans="14:14">
      <c r="N2142" s="4"/>
    </row>
    <row r="2143" spans="14:14">
      <c r="N2143" s="4"/>
    </row>
    <row r="2144" spans="14:14">
      <c r="N2144" s="4"/>
    </row>
    <row r="2145" spans="14:14">
      <c r="N2145" s="4"/>
    </row>
    <row r="2146" spans="14:14">
      <c r="N2146" s="4"/>
    </row>
    <row r="2147" spans="14:14">
      <c r="N2147" s="4"/>
    </row>
    <row r="2148" spans="14:14">
      <c r="N2148" s="4"/>
    </row>
    <row r="2149" spans="14:14">
      <c r="N2149" s="4"/>
    </row>
    <row r="2150" spans="14:14">
      <c r="N2150" s="4"/>
    </row>
    <row r="2151" spans="14:14">
      <c r="N2151" s="4"/>
    </row>
    <row r="2152" spans="14:14">
      <c r="N2152" s="4"/>
    </row>
    <row r="2153" spans="14:14">
      <c r="N2153" s="4"/>
    </row>
    <row r="2154" spans="14:14">
      <c r="N2154" s="4"/>
    </row>
    <row r="2155" spans="14:14">
      <c r="N2155" s="4"/>
    </row>
    <row r="2156" spans="14:14">
      <c r="N2156" s="4"/>
    </row>
    <row r="2157" spans="14:14">
      <c r="N2157" s="4"/>
    </row>
    <row r="2158" spans="14:14">
      <c r="N2158" s="4"/>
    </row>
    <row r="2159" spans="14:14">
      <c r="N2159" s="4"/>
    </row>
    <row r="2160" spans="14:14">
      <c r="N2160" s="4"/>
    </row>
    <row r="2161" spans="14:14">
      <c r="N2161" s="4"/>
    </row>
    <row r="2162" spans="14:14">
      <c r="N2162" s="4"/>
    </row>
    <row r="2163" spans="14:14">
      <c r="N2163" s="4"/>
    </row>
    <row r="2164" spans="14:14">
      <c r="N2164" s="4"/>
    </row>
    <row r="2165" spans="14:14">
      <c r="N2165" s="4"/>
    </row>
    <row r="2166" spans="14:14">
      <c r="N2166" s="4"/>
    </row>
    <row r="2167" spans="14:14">
      <c r="N2167" s="4"/>
    </row>
    <row r="2168" spans="14:14">
      <c r="N2168" s="4"/>
    </row>
    <row r="2169" spans="14:14">
      <c r="N2169" s="4"/>
    </row>
    <row r="2170" spans="14:14">
      <c r="N2170" s="4"/>
    </row>
    <row r="2171" spans="14:14">
      <c r="N2171" s="4"/>
    </row>
    <row r="2172" spans="14:14">
      <c r="N2172" s="4"/>
    </row>
    <row r="2173" spans="14:14">
      <c r="N2173" s="4"/>
    </row>
    <row r="2174" spans="14:14">
      <c r="N2174" s="4"/>
    </row>
    <row r="2175" spans="14:14">
      <c r="N2175" s="4"/>
    </row>
    <row r="2176" spans="14:14">
      <c r="N2176" s="4"/>
    </row>
    <row r="2177" spans="14:14">
      <c r="N2177" s="4"/>
    </row>
    <row r="2178" spans="14:14">
      <c r="N2178" s="4"/>
    </row>
    <row r="2179" spans="14:14">
      <c r="N2179" s="4"/>
    </row>
    <row r="2180" spans="14:14">
      <c r="N2180" s="4"/>
    </row>
    <row r="2181" spans="14:14">
      <c r="N2181" s="4"/>
    </row>
    <row r="2182" spans="14:14">
      <c r="N2182" s="4"/>
    </row>
    <row r="2183" spans="14:14">
      <c r="N2183" s="4"/>
    </row>
    <row r="2184" spans="14:14">
      <c r="N2184" s="4"/>
    </row>
    <row r="2185" spans="14:14">
      <c r="N2185" s="4"/>
    </row>
    <row r="2186" spans="14:14">
      <c r="N2186" s="4"/>
    </row>
    <row r="2187" spans="14:14">
      <c r="N2187" s="4"/>
    </row>
    <row r="2188" spans="14:14">
      <c r="N2188" s="4"/>
    </row>
    <row r="2189" spans="14:14">
      <c r="N2189" s="4"/>
    </row>
    <row r="2190" spans="14:14">
      <c r="N2190" s="4"/>
    </row>
    <row r="2191" spans="14:14">
      <c r="N2191" s="4"/>
    </row>
    <row r="2192" spans="14:14">
      <c r="N2192" s="4"/>
    </row>
    <row r="2193" spans="14:14">
      <c r="N2193" s="4"/>
    </row>
    <row r="2194" spans="14:14">
      <c r="N2194" s="4"/>
    </row>
    <row r="2195" spans="14:14">
      <c r="N2195" s="4"/>
    </row>
    <row r="2196" spans="14:14">
      <c r="N2196" s="4"/>
    </row>
    <row r="2197" spans="14:14">
      <c r="N2197" s="4"/>
    </row>
    <row r="2198" spans="14:14">
      <c r="N2198" s="4"/>
    </row>
    <row r="2199" spans="14:14">
      <c r="N2199" s="4"/>
    </row>
    <row r="2200" spans="14:14">
      <c r="N2200" s="4"/>
    </row>
    <row r="2201" spans="14:14">
      <c r="N2201" s="4"/>
    </row>
    <row r="2202" spans="14:14">
      <c r="N2202" s="4"/>
    </row>
    <row r="2203" spans="14:14">
      <c r="N2203" s="4"/>
    </row>
    <row r="2204" spans="14:14">
      <c r="N2204" s="4"/>
    </row>
    <row r="2205" spans="14:14">
      <c r="N2205" s="4"/>
    </row>
    <row r="2206" spans="14:14">
      <c r="N2206" s="4"/>
    </row>
    <row r="2207" spans="14:14">
      <c r="N2207" s="4"/>
    </row>
    <row r="2208" spans="14:14">
      <c r="N2208" s="4"/>
    </row>
    <row r="2209" spans="14:14">
      <c r="N2209" s="4"/>
    </row>
    <row r="2210" spans="14:14">
      <c r="N2210" s="4"/>
    </row>
    <row r="2211" spans="14:14">
      <c r="N2211" s="4"/>
    </row>
    <row r="2212" spans="14:14">
      <c r="N2212" s="4"/>
    </row>
    <row r="2213" spans="14:14">
      <c r="N2213" s="4"/>
    </row>
    <row r="2214" spans="14:14">
      <c r="N2214" s="4"/>
    </row>
    <row r="2215" spans="14:14">
      <c r="N2215" s="4"/>
    </row>
    <row r="2216" spans="14:14">
      <c r="N2216" s="4"/>
    </row>
    <row r="2217" spans="14:14">
      <c r="N2217" s="4"/>
    </row>
    <row r="2218" spans="14:14">
      <c r="N2218" s="4"/>
    </row>
    <row r="2219" spans="14:14">
      <c r="N2219" s="4"/>
    </row>
    <row r="2220" spans="14:14">
      <c r="N2220" s="4"/>
    </row>
    <row r="2221" spans="14:14">
      <c r="N2221" s="4"/>
    </row>
    <row r="2222" spans="14:14">
      <c r="N2222" s="4"/>
    </row>
    <row r="2223" spans="14:14">
      <c r="N2223" s="4"/>
    </row>
    <row r="2224" spans="14:14">
      <c r="N2224" s="4"/>
    </row>
    <row r="2225" spans="14:14">
      <c r="N2225" s="4"/>
    </row>
    <row r="2226" spans="14:14">
      <c r="N2226" s="4"/>
    </row>
    <row r="2227" spans="14:14">
      <c r="N2227" s="4"/>
    </row>
    <row r="2228" spans="14:14">
      <c r="N2228" s="4"/>
    </row>
    <row r="2229" spans="14:14">
      <c r="N2229" s="4"/>
    </row>
    <row r="2230" spans="14:14">
      <c r="N2230" s="4"/>
    </row>
    <row r="2231" spans="14:14">
      <c r="N2231" s="4"/>
    </row>
    <row r="2232" spans="14:14">
      <c r="N2232" s="4"/>
    </row>
    <row r="2233" spans="14:14">
      <c r="N2233" s="4"/>
    </row>
    <row r="2234" spans="14:14">
      <c r="N2234" s="4"/>
    </row>
    <row r="2235" spans="14:14">
      <c r="N2235" s="4"/>
    </row>
    <row r="2236" spans="14:14">
      <c r="N2236" s="4"/>
    </row>
    <row r="2237" spans="14:14">
      <c r="N2237" s="4"/>
    </row>
    <row r="2238" spans="14:14">
      <c r="N2238" s="4"/>
    </row>
    <row r="2239" spans="14:14">
      <c r="N2239" s="4"/>
    </row>
    <row r="2240" spans="14:14">
      <c r="N2240" s="4"/>
    </row>
    <row r="2241" spans="14:14">
      <c r="N2241" s="4"/>
    </row>
    <row r="2242" spans="14:14">
      <c r="N2242" s="4"/>
    </row>
    <row r="2243" spans="14:14">
      <c r="N2243" s="4"/>
    </row>
    <row r="2244" spans="14:14">
      <c r="N2244" s="4"/>
    </row>
    <row r="2245" spans="14:14">
      <c r="N2245" s="4"/>
    </row>
    <row r="2246" spans="14:14">
      <c r="N2246" s="4"/>
    </row>
    <row r="2247" spans="14:14">
      <c r="N2247" s="4"/>
    </row>
    <row r="2248" spans="14:14">
      <c r="N2248" s="4"/>
    </row>
    <row r="2249" spans="14:14">
      <c r="N2249" s="4"/>
    </row>
    <row r="2250" spans="14:14">
      <c r="N2250" s="4"/>
    </row>
    <row r="2251" spans="14:14">
      <c r="N2251" s="4"/>
    </row>
    <row r="2252" spans="14:14">
      <c r="N2252" s="4"/>
    </row>
    <row r="2253" spans="14:14">
      <c r="N2253" s="4"/>
    </row>
    <row r="2254" spans="14:14">
      <c r="N2254" s="4"/>
    </row>
    <row r="2255" spans="14:14">
      <c r="N2255" s="4"/>
    </row>
    <row r="2256" spans="14:14">
      <c r="N2256" s="4"/>
    </row>
    <row r="2257" spans="14:14">
      <c r="N2257" s="4"/>
    </row>
    <row r="2258" spans="14:14">
      <c r="N2258" s="4"/>
    </row>
    <row r="2259" spans="14:14">
      <c r="N2259" s="4"/>
    </row>
    <row r="2260" spans="14:14">
      <c r="N2260" s="4"/>
    </row>
    <row r="2261" spans="14:14">
      <c r="N2261" s="4"/>
    </row>
    <row r="2262" spans="14:14">
      <c r="N2262" s="4"/>
    </row>
    <row r="2263" spans="14:14">
      <c r="N2263" s="4"/>
    </row>
    <row r="2264" spans="14:14">
      <c r="N2264" s="4"/>
    </row>
    <row r="2265" spans="14:14">
      <c r="N2265" s="4"/>
    </row>
    <row r="2266" spans="14:14">
      <c r="N2266" s="4"/>
    </row>
    <row r="2267" spans="14:14">
      <c r="N2267" s="4"/>
    </row>
    <row r="2268" spans="14:14">
      <c r="N2268" s="4"/>
    </row>
    <row r="2269" spans="14:14">
      <c r="N2269" s="4"/>
    </row>
    <row r="2270" spans="14:14">
      <c r="N2270" s="4"/>
    </row>
    <row r="2271" spans="14:14">
      <c r="N2271" s="4"/>
    </row>
    <row r="2272" spans="14:14">
      <c r="N2272" s="4"/>
    </row>
    <row r="2273" spans="14:14">
      <c r="N2273" s="4"/>
    </row>
    <row r="2274" spans="14:14">
      <c r="N2274" s="4"/>
    </row>
    <row r="2275" spans="14:14">
      <c r="N2275" s="4"/>
    </row>
    <row r="2276" spans="14:14">
      <c r="N2276" s="4"/>
    </row>
    <row r="2277" spans="14:14">
      <c r="N2277" s="4"/>
    </row>
    <row r="2278" spans="14:14">
      <c r="N2278" s="4"/>
    </row>
    <row r="2279" spans="14:14">
      <c r="N2279" s="4"/>
    </row>
    <row r="2280" spans="14:14">
      <c r="N2280" s="4"/>
    </row>
    <row r="2281" spans="14:14">
      <c r="N2281" s="4"/>
    </row>
    <row r="2282" spans="14:14">
      <c r="N2282" s="4"/>
    </row>
    <row r="2283" spans="14:14">
      <c r="N2283" s="4"/>
    </row>
    <row r="2284" spans="14:14">
      <c r="N2284" s="4"/>
    </row>
    <row r="2285" spans="14:14">
      <c r="N2285" s="4"/>
    </row>
    <row r="2286" spans="14:14">
      <c r="N2286" s="4"/>
    </row>
    <row r="2287" spans="14:14">
      <c r="N2287" s="4"/>
    </row>
    <row r="2288" spans="14:14">
      <c r="N2288" s="4"/>
    </row>
    <row r="2289" spans="14:14">
      <c r="N2289" s="4"/>
    </row>
    <row r="2290" spans="14:14">
      <c r="N2290" s="4"/>
    </row>
    <row r="2291" spans="14:14">
      <c r="N2291" s="4"/>
    </row>
    <row r="2292" spans="14:14">
      <c r="N2292" s="4"/>
    </row>
    <row r="2293" spans="14:14">
      <c r="N2293" s="4"/>
    </row>
    <row r="2294" spans="14:14">
      <c r="N2294" s="4"/>
    </row>
    <row r="2295" spans="14:14">
      <c r="N2295" s="4"/>
    </row>
    <row r="2296" spans="14:14">
      <c r="N2296" s="4"/>
    </row>
    <row r="2297" spans="14:14">
      <c r="N2297" s="4"/>
    </row>
    <row r="2298" spans="14:14">
      <c r="N2298" s="4"/>
    </row>
    <row r="2299" spans="14:14">
      <c r="N2299" s="4"/>
    </row>
    <row r="2300" spans="14:14">
      <c r="N2300" s="4"/>
    </row>
    <row r="2301" spans="14:14">
      <c r="N2301" s="4"/>
    </row>
    <row r="2302" spans="14:14">
      <c r="N2302" s="4"/>
    </row>
    <row r="2303" spans="14:14">
      <c r="N2303" s="4"/>
    </row>
    <row r="2304" spans="14:14">
      <c r="N2304" s="4"/>
    </row>
    <row r="2305" spans="14:14">
      <c r="N2305" s="4"/>
    </row>
    <row r="2306" spans="14:14">
      <c r="N2306" s="4"/>
    </row>
    <row r="2307" spans="14:14">
      <c r="N2307" s="4"/>
    </row>
    <row r="2308" spans="14:14">
      <c r="N2308" s="4"/>
    </row>
    <row r="2309" spans="14:14">
      <c r="N2309" s="4"/>
    </row>
    <row r="2310" spans="14:14">
      <c r="N2310" s="4"/>
    </row>
    <row r="2311" spans="14:14">
      <c r="N2311" s="4"/>
    </row>
    <row r="2312" spans="14:14">
      <c r="N2312" s="4"/>
    </row>
    <row r="2313" spans="14:14">
      <c r="N2313" s="4"/>
    </row>
    <row r="2314" spans="14:14">
      <c r="N2314" s="4"/>
    </row>
    <row r="2315" spans="14:14">
      <c r="N2315" s="4"/>
    </row>
    <row r="2316" spans="14:14">
      <c r="N2316" s="4"/>
    </row>
    <row r="2317" spans="14:14">
      <c r="N2317" s="4"/>
    </row>
    <row r="2318" spans="14:14">
      <c r="N2318" s="4"/>
    </row>
    <row r="2319" spans="14:14">
      <c r="N2319" s="4"/>
    </row>
    <row r="2320" spans="14:14">
      <c r="N2320" s="4"/>
    </row>
    <row r="2321" spans="14:14">
      <c r="N2321" s="4"/>
    </row>
    <row r="2322" spans="14:14">
      <c r="N2322" s="4"/>
    </row>
    <row r="2323" spans="14:14">
      <c r="N2323" s="4"/>
    </row>
    <row r="2324" spans="14:14">
      <c r="N2324" s="4"/>
    </row>
    <row r="2325" spans="14:14">
      <c r="N2325" s="4"/>
    </row>
    <row r="2326" spans="14:14">
      <c r="N2326" s="4"/>
    </row>
    <row r="2327" spans="14:14">
      <c r="N2327" s="4"/>
    </row>
    <row r="2328" spans="14:14">
      <c r="N2328" s="4"/>
    </row>
    <row r="2329" spans="14:14">
      <c r="N2329" s="4"/>
    </row>
    <row r="2330" spans="14:14">
      <c r="N2330" s="4"/>
    </row>
    <row r="2331" spans="14:14">
      <c r="N2331" s="4"/>
    </row>
    <row r="2332" spans="14:14">
      <c r="N2332" s="4"/>
    </row>
    <row r="2333" spans="14:14">
      <c r="N2333" s="4"/>
    </row>
    <row r="2334" spans="14:14">
      <c r="N2334" s="4"/>
    </row>
    <row r="2335" spans="14:14">
      <c r="N2335" s="4"/>
    </row>
    <row r="2336" spans="14:14">
      <c r="N2336" s="4"/>
    </row>
    <row r="2337" spans="14:14">
      <c r="N2337" s="4"/>
    </row>
    <row r="2338" spans="14:14">
      <c r="N2338" s="4"/>
    </row>
    <row r="2339" spans="14:14">
      <c r="N2339" s="4"/>
    </row>
    <row r="2340" spans="14:14">
      <c r="N2340" s="4"/>
    </row>
    <row r="2341" spans="14:14">
      <c r="N2341" s="4"/>
    </row>
    <row r="2342" spans="14:14">
      <c r="N2342" s="4"/>
    </row>
    <row r="2343" spans="14:14">
      <c r="N2343" s="4"/>
    </row>
    <row r="2344" spans="14:14">
      <c r="N2344" s="4"/>
    </row>
    <row r="2345" spans="14:14">
      <c r="N2345" s="4"/>
    </row>
    <row r="2346" spans="14:14">
      <c r="N2346" s="4"/>
    </row>
    <row r="2347" spans="14:14">
      <c r="N2347" s="4"/>
    </row>
    <row r="2348" spans="14:14">
      <c r="N2348" s="4"/>
    </row>
    <row r="2349" spans="14:14">
      <c r="N2349" s="4"/>
    </row>
    <row r="2350" spans="14:14">
      <c r="N2350" s="4"/>
    </row>
    <row r="2351" spans="14:14">
      <c r="N2351" s="4"/>
    </row>
    <row r="2352" spans="14:14">
      <c r="N2352" s="4"/>
    </row>
    <row r="2353" spans="14:14">
      <c r="N2353" s="4"/>
    </row>
    <row r="2354" spans="14:14">
      <c r="N2354" s="4"/>
    </row>
    <row r="2355" spans="14:14">
      <c r="N2355" s="4"/>
    </row>
    <row r="2356" spans="14:14">
      <c r="N2356" s="4"/>
    </row>
    <row r="2357" spans="14:14">
      <c r="N2357" s="4"/>
    </row>
    <row r="2358" spans="14:14">
      <c r="N2358" s="4"/>
    </row>
    <row r="2359" spans="14:14">
      <c r="N2359" s="4"/>
    </row>
    <row r="2360" spans="14:14">
      <c r="N2360" s="4"/>
    </row>
    <row r="2361" spans="14:14">
      <c r="N2361" s="4"/>
    </row>
    <row r="2362" spans="14:14">
      <c r="N2362" s="4"/>
    </row>
    <row r="2363" spans="14:14">
      <c r="N2363" s="4"/>
    </row>
    <row r="2364" spans="14:14">
      <c r="N2364" s="4"/>
    </row>
    <row r="2365" spans="14:14">
      <c r="N2365" s="4"/>
    </row>
    <row r="2366" spans="14:14">
      <c r="N2366" s="4"/>
    </row>
    <row r="2367" spans="14:14">
      <c r="N2367" s="4"/>
    </row>
    <row r="2368" spans="14:14">
      <c r="N2368" s="4"/>
    </row>
    <row r="2369" spans="14:14">
      <c r="N2369" s="4"/>
    </row>
    <row r="2370" spans="14:14">
      <c r="N2370" s="4"/>
    </row>
    <row r="2371" spans="14:14">
      <c r="N2371" s="4"/>
    </row>
    <row r="2372" spans="14:14">
      <c r="N2372" s="4"/>
    </row>
    <row r="2373" spans="14:14">
      <c r="N2373" s="4"/>
    </row>
    <row r="2374" spans="14:14">
      <c r="N2374" s="4"/>
    </row>
    <row r="2375" spans="14:14">
      <c r="N2375" s="4"/>
    </row>
    <row r="2376" spans="14:14">
      <c r="N2376" s="4"/>
    </row>
    <row r="2377" spans="14:14">
      <c r="N2377" s="4"/>
    </row>
    <row r="2378" spans="14:14">
      <c r="N2378" s="4"/>
    </row>
    <row r="2379" spans="14:14">
      <c r="N2379" s="4"/>
    </row>
    <row r="2380" spans="14:14">
      <c r="N2380" s="4"/>
    </row>
    <row r="2381" spans="14:14">
      <c r="N2381" s="4"/>
    </row>
    <row r="2382" spans="14:14">
      <c r="N2382" s="4"/>
    </row>
    <row r="2383" spans="14:14">
      <c r="N2383" s="4"/>
    </row>
    <row r="2384" spans="14:14">
      <c r="N2384" s="4"/>
    </row>
    <row r="2385" spans="14:14">
      <c r="N2385" s="4"/>
    </row>
    <row r="2386" spans="14:14">
      <c r="N2386" s="4"/>
    </row>
    <row r="2387" spans="14:14">
      <c r="N2387" s="4"/>
    </row>
    <row r="2388" spans="14:14">
      <c r="N2388" s="4"/>
    </row>
    <row r="2389" spans="14:14">
      <c r="N2389" s="4"/>
    </row>
    <row r="2390" spans="14:14">
      <c r="N2390" s="4"/>
    </row>
    <row r="2391" spans="14:14">
      <c r="N2391" s="4"/>
    </row>
    <row r="2392" spans="14:14">
      <c r="N2392" s="4"/>
    </row>
    <row r="2393" spans="14:14">
      <c r="N2393" s="4"/>
    </row>
    <row r="2394" spans="14:14">
      <c r="N2394" s="4"/>
    </row>
    <row r="2395" spans="14:14">
      <c r="N2395" s="4"/>
    </row>
    <row r="2396" spans="14:14">
      <c r="N2396" s="4"/>
    </row>
    <row r="2397" spans="14:14">
      <c r="N2397" s="4"/>
    </row>
    <row r="2398" spans="14:14">
      <c r="N2398" s="4"/>
    </row>
    <row r="2399" spans="14:14">
      <c r="N2399" s="4"/>
    </row>
    <row r="2400" spans="14:14">
      <c r="N2400" s="4"/>
    </row>
    <row r="2401" spans="14:14">
      <c r="N2401" s="4"/>
    </row>
    <row r="2402" spans="14:14">
      <c r="N2402" s="4"/>
    </row>
    <row r="2403" spans="14:14">
      <c r="N2403" s="4"/>
    </row>
    <row r="2404" spans="14:14">
      <c r="N2404" s="4"/>
    </row>
    <row r="2405" spans="14:14">
      <c r="N2405" s="4"/>
    </row>
    <row r="2406" spans="14:14">
      <c r="N2406" s="4"/>
    </row>
    <row r="2407" spans="14:14">
      <c r="N2407" s="4"/>
    </row>
    <row r="2408" spans="14:14">
      <c r="N2408" s="4"/>
    </row>
    <row r="2409" spans="14:14">
      <c r="N2409" s="4"/>
    </row>
    <row r="2410" spans="14:14">
      <c r="N2410" s="4"/>
    </row>
    <row r="2411" spans="14:14">
      <c r="N2411" s="4"/>
    </row>
    <row r="2412" spans="14:14">
      <c r="N2412" s="4"/>
    </row>
    <row r="2413" spans="14:14">
      <c r="N2413" s="4"/>
    </row>
    <row r="2414" spans="14:14">
      <c r="N2414" s="4"/>
    </row>
    <row r="2415" spans="14:14">
      <c r="N2415" s="4"/>
    </row>
    <row r="2416" spans="14:14">
      <c r="N2416" s="4"/>
    </row>
    <row r="2417" spans="14:14">
      <c r="N2417" s="4"/>
    </row>
    <row r="2418" spans="14:14">
      <c r="N2418" s="4"/>
    </row>
    <row r="2419" spans="14:14">
      <c r="N2419" s="4"/>
    </row>
    <row r="2420" spans="14:14">
      <c r="N2420" s="4"/>
    </row>
    <row r="2421" spans="14:14">
      <c r="N2421" s="4"/>
    </row>
    <row r="2422" spans="14:14">
      <c r="N2422" s="4"/>
    </row>
    <row r="2423" spans="14:14">
      <c r="N2423" s="4"/>
    </row>
    <row r="2424" spans="14:14">
      <c r="N2424" s="4"/>
    </row>
    <row r="2425" spans="14:14">
      <c r="N2425" s="4"/>
    </row>
    <row r="2426" spans="14:14">
      <c r="N2426" s="4"/>
    </row>
    <row r="2427" spans="14:14">
      <c r="N2427" s="4"/>
    </row>
    <row r="2428" spans="14:14">
      <c r="N2428" s="4"/>
    </row>
    <row r="2429" spans="14:14">
      <c r="N2429" s="4"/>
    </row>
    <row r="2430" spans="14:14">
      <c r="N2430" s="4"/>
    </row>
    <row r="2431" spans="14:14">
      <c r="N2431" s="4"/>
    </row>
    <row r="2432" spans="14:14">
      <c r="N2432" s="4"/>
    </row>
    <row r="2433" spans="14:14">
      <c r="N2433" s="4"/>
    </row>
    <row r="2434" spans="14:14">
      <c r="N2434" s="4"/>
    </row>
    <row r="2435" spans="14:14">
      <c r="N2435" s="4"/>
    </row>
    <row r="2436" spans="14:14">
      <c r="N2436" s="4"/>
    </row>
    <row r="2437" spans="14:14">
      <c r="N2437" s="4"/>
    </row>
    <row r="2438" spans="14:14">
      <c r="N2438" s="4"/>
    </row>
    <row r="2439" spans="14:14">
      <c r="N2439" s="4"/>
    </row>
    <row r="2440" spans="14:14">
      <c r="N2440" s="4"/>
    </row>
    <row r="2441" spans="14:14">
      <c r="N2441" s="4"/>
    </row>
    <row r="2442" spans="14:14">
      <c r="N2442" s="4"/>
    </row>
    <row r="2443" spans="14:14">
      <c r="N2443" s="4"/>
    </row>
    <row r="2444" spans="14:14">
      <c r="N2444" s="4"/>
    </row>
    <row r="2445" spans="14:14">
      <c r="N2445" s="4"/>
    </row>
    <row r="2446" spans="14:14">
      <c r="N2446" s="4"/>
    </row>
    <row r="2447" spans="14:14">
      <c r="N2447" s="4"/>
    </row>
    <row r="2448" spans="14:14">
      <c r="N2448" s="4"/>
    </row>
    <row r="2449" spans="14:14">
      <c r="N2449" s="4"/>
    </row>
    <row r="2450" spans="14:14">
      <c r="N2450" s="4"/>
    </row>
    <row r="2451" spans="14:14">
      <c r="N2451" s="4"/>
    </row>
    <row r="2452" spans="14:14">
      <c r="N2452" s="4"/>
    </row>
    <row r="2453" spans="14:14">
      <c r="N2453" s="4"/>
    </row>
    <row r="2454" spans="14:14">
      <c r="N2454" s="4"/>
    </row>
    <row r="2455" spans="14:14">
      <c r="N2455" s="4"/>
    </row>
    <row r="2456" spans="14:14">
      <c r="N2456" s="4"/>
    </row>
    <row r="2457" spans="14:14">
      <c r="N2457" s="4"/>
    </row>
    <row r="2458" spans="14:14">
      <c r="N2458" s="4"/>
    </row>
    <row r="2459" spans="14:14">
      <c r="N2459" s="4"/>
    </row>
    <row r="2460" spans="14:14">
      <c r="N2460" s="4"/>
    </row>
    <row r="2461" spans="14:14">
      <c r="N2461" s="4"/>
    </row>
    <row r="2462" spans="14:14">
      <c r="N2462" s="4"/>
    </row>
    <row r="2463" spans="14:14">
      <c r="N2463" s="4"/>
    </row>
    <row r="2464" spans="14:14">
      <c r="N2464" s="4"/>
    </row>
    <row r="2465" spans="14:14">
      <c r="N2465" s="4"/>
    </row>
    <row r="2466" spans="14:14">
      <c r="N2466" s="4"/>
    </row>
    <row r="2467" spans="14:14">
      <c r="N2467" s="4"/>
    </row>
    <row r="2468" spans="14:14">
      <c r="N2468" s="4"/>
    </row>
    <row r="2469" spans="14:14">
      <c r="N2469" s="4"/>
    </row>
    <row r="2470" spans="14:14">
      <c r="N2470" s="4"/>
    </row>
    <row r="2471" spans="14:14">
      <c r="N2471" s="4"/>
    </row>
    <row r="2472" spans="14:14">
      <c r="N2472" s="4"/>
    </row>
    <row r="2473" spans="14:14">
      <c r="N2473" s="4"/>
    </row>
    <row r="2474" spans="14:14">
      <c r="N2474" s="4"/>
    </row>
    <row r="2475" spans="14:14">
      <c r="N2475" s="4"/>
    </row>
    <row r="2476" spans="14:14">
      <c r="N2476" s="4"/>
    </row>
    <row r="2477" spans="14:14">
      <c r="N2477" s="4"/>
    </row>
    <row r="2478" spans="14:14">
      <c r="N2478" s="4"/>
    </row>
    <row r="2479" spans="14:14">
      <c r="N2479" s="4"/>
    </row>
    <row r="2480" spans="14:14">
      <c r="N2480" s="4"/>
    </row>
    <row r="2481" spans="14:14">
      <c r="N2481" s="4"/>
    </row>
    <row r="2482" spans="14:14">
      <c r="N2482" s="4"/>
    </row>
    <row r="2483" spans="14:14">
      <c r="N2483" s="4"/>
    </row>
    <row r="2484" spans="14:14">
      <c r="N2484" s="4"/>
    </row>
    <row r="2485" spans="14:14">
      <c r="N2485" s="4"/>
    </row>
    <row r="2486" spans="14:14">
      <c r="N2486" s="4"/>
    </row>
    <row r="2487" spans="14:14">
      <c r="N2487" s="4"/>
    </row>
    <row r="2488" spans="14:14">
      <c r="N2488" s="4"/>
    </row>
    <row r="2489" spans="14:14">
      <c r="N2489" s="4"/>
    </row>
    <row r="2490" spans="14:14">
      <c r="N2490" s="4"/>
    </row>
    <row r="2491" spans="14:14">
      <c r="N2491" s="4"/>
    </row>
    <row r="2492" spans="14:14">
      <c r="N2492" s="4"/>
    </row>
    <row r="2493" spans="14:14">
      <c r="N2493" s="4"/>
    </row>
    <row r="2494" spans="14:14">
      <c r="N2494" s="4"/>
    </row>
    <row r="2495" spans="14:14">
      <c r="N2495" s="4"/>
    </row>
    <row r="2496" spans="14:14">
      <c r="N2496" s="4"/>
    </row>
    <row r="2497" spans="14:14">
      <c r="N2497" s="4"/>
    </row>
    <row r="2498" spans="14:14">
      <c r="N2498" s="4"/>
    </row>
    <row r="2499" spans="14:14">
      <c r="N2499" s="4"/>
    </row>
    <row r="2500" spans="14:14">
      <c r="N2500" s="4"/>
    </row>
    <row r="2501" spans="14:14">
      <c r="N2501" s="4"/>
    </row>
    <row r="2502" spans="14:14">
      <c r="N2502" s="4"/>
    </row>
    <row r="2503" spans="14:14">
      <c r="N2503" s="4"/>
    </row>
    <row r="2504" spans="14:14">
      <c r="N2504" s="4"/>
    </row>
    <row r="2505" spans="14:14">
      <c r="N2505" s="4"/>
    </row>
    <row r="2506" spans="14:14">
      <c r="N2506" s="4"/>
    </row>
    <row r="2507" spans="14:14">
      <c r="N2507" s="4"/>
    </row>
    <row r="2508" spans="14:14">
      <c r="N2508" s="4"/>
    </row>
    <row r="2509" spans="14:14">
      <c r="N2509" s="4"/>
    </row>
    <row r="2510" spans="14:14">
      <c r="N2510" s="4"/>
    </row>
    <row r="2511" spans="14:14">
      <c r="N2511" s="4"/>
    </row>
    <row r="2512" spans="14:14">
      <c r="N2512" s="4"/>
    </row>
    <row r="2513" spans="14:14">
      <c r="N2513" s="4"/>
    </row>
    <row r="2514" spans="14:14">
      <c r="N2514" s="4"/>
    </row>
    <row r="2515" spans="14:14">
      <c r="N2515" s="4"/>
    </row>
    <row r="2516" spans="14:14">
      <c r="N2516" s="4"/>
    </row>
    <row r="2517" spans="14:14">
      <c r="N2517" s="4"/>
    </row>
    <row r="2518" spans="14:14">
      <c r="N2518" s="4"/>
    </row>
    <row r="2519" spans="14:14">
      <c r="N2519" s="4"/>
    </row>
    <row r="2520" spans="14:14">
      <c r="N2520" s="4"/>
    </row>
    <row r="2521" spans="14:14">
      <c r="N2521" s="4"/>
    </row>
    <row r="2522" spans="14:14">
      <c r="N2522" s="4"/>
    </row>
    <row r="2523" spans="14:14">
      <c r="N2523" s="4"/>
    </row>
    <row r="2524" spans="14:14">
      <c r="N2524" s="4"/>
    </row>
    <row r="2525" spans="14:14">
      <c r="N2525" s="4"/>
    </row>
    <row r="2526" spans="14:14">
      <c r="N2526" s="4"/>
    </row>
    <row r="2527" spans="14:14">
      <c r="N2527" s="4"/>
    </row>
    <row r="2528" spans="14:14">
      <c r="N2528" s="4"/>
    </row>
    <row r="2529" spans="14:14">
      <c r="N2529" s="4"/>
    </row>
    <row r="2530" spans="14:14">
      <c r="N2530" s="4"/>
    </row>
    <row r="2531" spans="14:14">
      <c r="N2531" s="4"/>
    </row>
    <row r="2532" spans="14:14">
      <c r="N2532" s="4"/>
    </row>
    <row r="2533" spans="14:14">
      <c r="N2533" s="4"/>
    </row>
    <row r="2534" spans="14:14">
      <c r="N2534" s="4"/>
    </row>
    <row r="2535" spans="14:14">
      <c r="N2535" s="4"/>
    </row>
    <row r="2536" spans="14:14">
      <c r="N2536" s="4"/>
    </row>
    <row r="2537" spans="14:14">
      <c r="N2537" s="4"/>
    </row>
    <row r="2538" spans="14:14">
      <c r="N2538" s="4"/>
    </row>
    <row r="2539" spans="14:14">
      <c r="N2539" s="4"/>
    </row>
    <row r="2540" spans="14:14">
      <c r="N2540" s="4"/>
    </row>
    <row r="2541" spans="14:14">
      <c r="N2541" s="4"/>
    </row>
    <row r="2542" spans="14:14">
      <c r="N2542" s="4"/>
    </row>
    <row r="2543" spans="14:14">
      <c r="N2543" s="4"/>
    </row>
    <row r="2544" spans="14:14">
      <c r="N2544" s="4"/>
    </row>
    <row r="2545" spans="14:14">
      <c r="N2545" s="4"/>
    </row>
    <row r="2546" spans="14:14">
      <c r="N2546" s="4"/>
    </row>
    <row r="2547" spans="14:14">
      <c r="N2547" s="4"/>
    </row>
    <row r="2548" spans="14:14">
      <c r="N2548" s="4"/>
    </row>
    <row r="2549" spans="14:14">
      <c r="N2549" s="4"/>
    </row>
    <row r="2550" spans="14:14">
      <c r="N2550" s="4"/>
    </row>
    <row r="2551" spans="14:14">
      <c r="N2551" s="4"/>
    </row>
    <row r="2552" spans="14:14">
      <c r="N2552" s="4"/>
    </row>
    <row r="2553" spans="14:14">
      <c r="N2553" s="4"/>
    </row>
    <row r="2554" spans="14:14">
      <c r="N2554" s="4"/>
    </row>
    <row r="2555" spans="14:14">
      <c r="N2555" s="4"/>
    </row>
    <row r="2556" spans="14:14">
      <c r="N2556" s="4"/>
    </row>
    <row r="2557" spans="14:14">
      <c r="N2557" s="4"/>
    </row>
    <row r="2558" spans="14:14">
      <c r="N2558" s="4"/>
    </row>
    <row r="2559" spans="14:14">
      <c r="N2559" s="4"/>
    </row>
    <row r="2560" spans="14:14">
      <c r="N2560" s="4"/>
    </row>
    <row r="2561" spans="14:14">
      <c r="N2561" s="4"/>
    </row>
    <row r="2562" spans="14:14">
      <c r="N2562" s="4"/>
    </row>
    <row r="2563" spans="14:14">
      <c r="N2563" s="4"/>
    </row>
    <row r="2564" spans="14:14">
      <c r="N2564" s="4"/>
    </row>
    <row r="2565" spans="14:14">
      <c r="N2565" s="4"/>
    </row>
    <row r="2566" spans="14:14">
      <c r="N2566" s="4"/>
    </row>
    <row r="2567" spans="14:14">
      <c r="N2567" s="4"/>
    </row>
    <row r="2568" spans="14:14">
      <c r="N2568" s="4"/>
    </row>
    <row r="2569" spans="14:14">
      <c r="N2569" s="4"/>
    </row>
    <row r="2570" spans="14:14">
      <c r="N2570" s="4"/>
    </row>
    <row r="2571" spans="14:14">
      <c r="N2571" s="4"/>
    </row>
    <row r="2572" spans="14:14">
      <c r="N2572" s="4"/>
    </row>
    <row r="2573" spans="14:14">
      <c r="N2573" s="4"/>
    </row>
    <row r="2574" spans="14:14">
      <c r="N2574" s="4"/>
    </row>
    <row r="2575" spans="14:14">
      <c r="N2575" s="4"/>
    </row>
    <row r="2576" spans="14:14">
      <c r="N2576" s="4"/>
    </row>
    <row r="2577" spans="14:14">
      <c r="N2577" s="4"/>
    </row>
    <row r="2578" spans="14:14">
      <c r="N2578" s="4"/>
    </row>
    <row r="2579" spans="14:14">
      <c r="N2579" s="4"/>
    </row>
    <row r="2580" spans="14:14">
      <c r="N2580" s="4"/>
    </row>
    <row r="2581" spans="14:14">
      <c r="N2581" s="4"/>
    </row>
    <row r="2582" spans="14:14">
      <c r="N2582" s="4"/>
    </row>
    <row r="2583" spans="14:14">
      <c r="N2583" s="4"/>
    </row>
    <row r="2584" spans="14:14">
      <c r="N2584" s="4"/>
    </row>
    <row r="2585" spans="14:14">
      <c r="N2585" s="4"/>
    </row>
    <row r="2586" spans="14:14">
      <c r="N2586" s="4"/>
    </row>
    <row r="2587" spans="14:14">
      <c r="N2587" s="4"/>
    </row>
    <row r="2588" spans="14:14">
      <c r="N2588" s="4"/>
    </row>
    <row r="2589" spans="14:14">
      <c r="N2589" s="4"/>
    </row>
    <row r="2590" spans="14:14">
      <c r="N2590" s="4"/>
    </row>
    <row r="2591" spans="14:14">
      <c r="N2591" s="4"/>
    </row>
    <row r="2592" spans="14:14">
      <c r="N2592" s="4"/>
    </row>
    <row r="2593" spans="14:14">
      <c r="N2593" s="4"/>
    </row>
    <row r="2594" spans="14:14">
      <c r="N2594" s="4"/>
    </row>
    <row r="2595" spans="14:14">
      <c r="N2595" s="4"/>
    </row>
    <row r="2596" spans="14:14">
      <c r="N2596" s="4"/>
    </row>
    <row r="2597" spans="14:14">
      <c r="N2597" s="4"/>
    </row>
    <row r="2598" spans="14:14">
      <c r="N2598" s="4"/>
    </row>
    <row r="2599" spans="14:14">
      <c r="N2599" s="4"/>
    </row>
    <row r="2600" spans="14:14">
      <c r="N2600" s="4"/>
    </row>
    <row r="2601" spans="14:14">
      <c r="N2601" s="4"/>
    </row>
    <row r="2602" spans="14:14">
      <c r="N2602" s="4"/>
    </row>
    <row r="2603" spans="14:14">
      <c r="N2603" s="4"/>
    </row>
    <row r="2604" spans="14:14">
      <c r="N2604" s="4"/>
    </row>
    <row r="2605" spans="14:14">
      <c r="N2605" s="4"/>
    </row>
    <row r="2606" spans="14:14">
      <c r="N2606" s="4"/>
    </row>
    <row r="2607" spans="14:14">
      <c r="N2607" s="4"/>
    </row>
    <row r="2608" spans="14:14">
      <c r="N2608" s="4"/>
    </row>
    <row r="2609" spans="14:14">
      <c r="N2609" s="4"/>
    </row>
    <row r="2610" spans="14:14">
      <c r="N2610" s="4"/>
    </row>
    <row r="2611" spans="14:14">
      <c r="N2611" s="4"/>
    </row>
    <row r="2612" spans="14:14">
      <c r="N2612" s="4"/>
    </row>
    <row r="2613" spans="14:14">
      <c r="N2613" s="4"/>
    </row>
    <row r="2614" spans="14:14">
      <c r="N2614" s="4"/>
    </row>
    <row r="2615" spans="14:14">
      <c r="N2615" s="4"/>
    </row>
    <row r="2616" spans="14:14">
      <c r="N2616" s="4"/>
    </row>
    <row r="2617" spans="14:14">
      <c r="N2617" s="4"/>
    </row>
    <row r="2618" spans="14:14">
      <c r="N2618" s="4"/>
    </row>
    <row r="2619" spans="14:14">
      <c r="N2619" s="4"/>
    </row>
    <row r="2620" spans="14:14">
      <c r="N2620" s="4"/>
    </row>
    <row r="2621" spans="14:14">
      <c r="N2621" s="4"/>
    </row>
    <row r="2622" spans="14:14">
      <c r="N2622" s="4"/>
    </row>
    <row r="2623" spans="14:14">
      <c r="N2623" s="4"/>
    </row>
    <row r="2624" spans="14:14">
      <c r="N2624" s="4"/>
    </row>
    <row r="2625" spans="14:14">
      <c r="N2625" s="4"/>
    </row>
    <row r="2626" spans="14:14">
      <c r="N2626" s="4"/>
    </row>
    <row r="2627" spans="14:14">
      <c r="N2627" s="4"/>
    </row>
    <row r="2628" spans="14:14">
      <c r="N2628" s="4"/>
    </row>
    <row r="2629" spans="14:14">
      <c r="N2629" s="4"/>
    </row>
    <row r="2630" spans="14:14">
      <c r="N2630" s="4"/>
    </row>
    <row r="2631" spans="14:14">
      <c r="N2631" s="4"/>
    </row>
    <row r="2632" spans="14:14">
      <c r="N2632" s="4"/>
    </row>
    <row r="2633" spans="14:14">
      <c r="N2633" s="4"/>
    </row>
    <row r="2634" spans="14:14">
      <c r="N2634" s="4"/>
    </row>
    <row r="2635" spans="14:14">
      <c r="N2635" s="4"/>
    </row>
    <row r="2636" spans="14:14">
      <c r="N2636" s="4"/>
    </row>
    <row r="2637" spans="14:14">
      <c r="N2637" s="4"/>
    </row>
    <row r="2638" spans="14:14">
      <c r="N2638" s="4"/>
    </row>
    <row r="2639" spans="14:14">
      <c r="N2639" s="4"/>
    </row>
    <row r="2640" spans="14:14">
      <c r="N2640" s="4"/>
    </row>
    <row r="2641" spans="14:14">
      <c r="N2641" s="4"/>
    </row>
    <row r="2642" spans="14:14">
      <c r="N2642" s="4"/>
    </row>
    <row r="2643" spans="14:14">
      <c r="N2643" s="4"/>
    </row>
    <row r="2644" spans="14:14">
      <c r="N2644" s="4"/>
    </row>
    <row r="2645" spans="14:14">
      <c r="N2645" s="4"/>
    </row>
    <row r="2646" spans="14:14">
      <c r="N2646" s="4"/>
    </row>
    <row r="2647" spans="14:14">
      <c r="N2647" s="4"/>
    </row>
    <row r="2648" spans="14:14">
      <c r="N2648" s="4"/>
    </row>
    <row r="2649" spans="14:14">
      <c r="N2649" s="4"/>
    </row>
    <row r="2650" spans="14:14">
      <c r="N2650" s="4"/>
    </row>
    <row r="2651" spans="14:14">
      <c r="N2651" s="4"/>
    </row>
    <row r="2652" spans="14:14">
      <c r="N2652" s="4"/>
    </row>
    <row r="2653" spans="14:14">
      <c r="N2653" s="4"/>
    </row>
    <row r="2654" spans="14:14">
      <c r="N2654" s="4"/>
    </row>
    <row r="2655" spans="14:14">
      <c r="N2655" s="4"/>
    </row>
    <row r="2656" spans="14:14">
      <c r="N2656" s="4"/>
    </row>
    <row r="2657" spans="14:14">
      <c r="N2657" s="4"/>
    </row>
    <row r="2658" spans="14:14">
      <c r="N2658" s="4"/>
    </row>
    <row r="2659" spans="14:14">
      <c r="N2659" s="4"/>
    </row>
    <row r="2660" spans="14:14">
      <c r="N2660" s="4"/>
    </row>
    <row r="2661" spans="14:14">
      <c r="N2661" s="4"/>
    </row>
    <row r="2662" spans="14:14">
      <c r="N2662" s="4"/>
    </row>
    <row r="2663" spans="14:14">
      <c r="N2663" s="4"/>
    </row>
    <row r="2664" spans="14:14">
      <c r="N2664" s="4"/>
    </row>
    <row r="2665" spans="14:14">
      <c r="N2665" s="4"/>
    </row>
    <row r="2666" spans="14:14">
      <c r="N2666" s="4"/>
    </row>
    <row r="2667" spans="14:14">
      <c r="N2667" s="4"/>
    </row>
    <row r="2668" spans="14:14">
      <c r="N2668" s="4"/>
    </row>
    <row r="2669" spans="14:14">
      <c r="N2669" s="4"/>
    </row>
    <row r="2670" spans="14:14">
      <c r="N2670" s="4"/>
    </row>
    <row r="2671" spans="14:14">
      <c r="N2671" s="4"/>
    </row>
    <row r="2672" spans="14:14">
      <c r="N2672" s="4"/>
    </row>
    <row r="2673" spans="14:14">
      <c r="N2673" s="4"/>
    </row>
    <row r="2674" spans="14:14">
      <c r="N2674" s="4"/>
    </row>
    <row r="2675" spans="14:14">
      <c r="N2675" s="4"/>
    </row>
    <row r="2676" spans="14:14">
      <c r="N2676" s="4"/>
    </row>
    <row r="2677" spans="14:14">
      <c r="N2677" s="4"/>
    </row>
    <row r="2678" spans="14:14">
      <c r="N2678" s="4"/>
    </row>
    <row r="2679" spans="14:14">
      <c r="N2679" s="4"/>
    </row>
    <row r="2680" spans="14:14">
      <c r="N2680" s="4"/>
    </row>
    <row r="2681" spans="14:14">
      <c r="N2681" s="4"/>
    </row>
    <row r="2682" spans="14:14">
      <c r="N2682" s="4"/>
    </row>
    <row r="2683" spans="14:14">
      <c r="N2683" s="4"/>
    </row>
    <row r="2684" spans="14:14">
      <c r="N2684" s="4"/>
    </row>
    <row r="2685" spans="14:14">
      <c r="N2685" s="4"/>
    </row>
    <row r="2686" spans="14:14">
      <c r="N2686" s="4"/>
    </row>
    <row r="2687" spans="14:14">
      <c r="N2687" s="4"/>
    </row>
    <row r="2688" spans="14:14">
      <c r="N2688" s="4"/>
    </row>
    <row r="2689" spans="14:14">
      <c r="N2689" s="4"/>
    </row>
    <row r="2690" spans="14:14">
      <c r="N2690" s="4"/>
    </row>
    <row r="2691" spans="14:14">
      <c r="N2691" s="4"/>
    </row>
    <row r="2692" spans="14:14">
      <c r="N2692" s="4"/>
    </row>
    <row r="2693" spans="14:14">
      <c r="N2693" s="4"/>
    </row>
    <row r="2694" spans="14:14">
      <c r="N2694" s="4"/>
    </row>
    <row r="2695" spans="14:14">
      <c r="N2695" s="4"/>
    </row>
    <row r="2696" spans="14:14">
      <c r="N2696" s="4"/>
    </row>
    <row r="2697" spans="14:14">
      <c r="N2697" s="4"/>
    </row>
    <row r="2698" spans="14:14">
      <c r="N2698" s="4"/>
    </row>
    <row r="2699" spans="14:14">
      <c r="N2699" s="4"/>
    </row>
    <row r="2700" spans="14:14">
      <c r="N2700" s="4"/>
    </row>
    <row r="2701" spans="14:14">
      <c r="N2701" s="4"/>
    </row>
    <row r="2702" spans="14:14">
      <c r="N2702" s="4"/>
    </row>
    <row r="2703" spans="14:14">
      <c r="N2703" s="4"/>
    </row>
    <row r="2704" spans="14:14">
      <c r="N2704" s="4"/>
    </row>
    <row r="2705" spans="14:14">
      <c r="N2705" s="4"/>
    </row>
    <row r="2706" spans="14:14">
      <c r="N2706" s="4"/>
    </row>
    <row r="2707" spans="14:14">
      <c r="N2707" s="4"/>
    </row>
    <row r="2708" spans="14:14">
      <c r="N2708" s="4"/>
    </row>
    <row r="2709" spans="14:14">
      <c r="N2709" s="4"/>
    </row>
    <row r="2710" spans="14:14">
      <c r="N2710" s="4"/>
    </row>
    <row r="2711" spans="14:14">
      <c r="N2711" s="4"/>
    </row>
    <row r="2712" spans="14:14">
      <c r="N2712" s="4"/>
    </row>
    <row r="2713" spans="14:14">
      <c r="N2713" s="4"/>
    </row>
    <row r="2714" spans="14:14">
      <c r="N2714" s="4"/>
    </row>
    <row r="2715" spans="14:14">
      <c r="N2715" s="4"/>
    </row>
    <row r="2716" spans="14:14">
      <c r="N2716" s="4"/>
    </row>
    <row r="2717" spans="14:14">
      <c r="N2717" s="4"/>
    </row>
    <row r="2718" spans="14:14">
      <c r="N2718" s="4"/>
    </row>
    <row r="2719" spans="14:14">
      <c r="N2719" s="4"/>
    </row>
    <row r="2720" spans="14:14">
      <c r="N2720" s="4"/>
    </row>
    <row r="2721" spans="14:14">
      <c r="N2721" s="4"/>
    </row>
    <row r="2722" spans="14:14">
      <c r="N2722" s="4"/>
    </row>
    <row r="2723" spans="14:14">
      <c r="N2723" s="4"/>
    </row>
    <row r="2724" spans="14:14">
      <c r="N2724" s="4"/>
    </row>
    <row r="2725" spans="14:14">
      <c r="N2725" s="4"/>
    </row>
    <row r="2726" spans="14:14">
      <c r="N2726" s="4"/>
    </row>
    <row r="2727" spans="14:14">
      <c r="N2727" s="4"/>
    </row>
    <row r="2728" spans="14:14">
      <c r="N2728" s="4"/>
    </row>
    <row r="2729" spans="14:14">
      <c r="N2729" s="4"/>
    </row>
    <row r="2730" spans="14:14">
      <c r="N2730" s="4"/>
    </row>
    <row r="2731" spans="14:14">
      <c r="N2731" s="4"/>
    </row>
    <row r="2732" spans="14:14">
      <c r="N2732" s="4"/>
    </row>
    <row r="2733" spans="14:14">
      <c r="N2733" s="4"/>
    </row>
    <row r="2734" spans="14:14">
      <c r="N2734" s="4"/>
    </row>
    <row r="2735" spans="14:14">
      <c r="N2735" s="4"/>
    </row>
    <row r="2736" spans="14:14">
      <c r="N2736" s="4"/>
    </row>
    <row r="2737" spans="14:14">
      <c r="N2737" s="4"/>
    </row>
    <row r="2738" spans="14:14">
      <c r="N2738" s="4"/>
    </row>
    <row r="2739" spans="14:14">
      <c r="N2739" s="4"/>
    </row>
    <row r="2740" spans="14:14">
      <c r="N2740" s="4"/>
    </row>
    <row r="2741" spans="14:14">
      <c r="N2741" s="4"/>
    </row>
    <row r="2742" spans="14:14">
      <c r="N2742" s="4"/>
    </row>
    <row r="2743" spans="14:14">
      <c r="N2743" s="4"/>
    </row>
    <row r="2744" spans="14:14">
      <c r="N2744" s="4"/>
    </row>
    <row r="2745" spans="14:14">
      <c r="N2745" s="4"/>
    </row>
    <row r="2746" spans="14:14">
      <c r="N2746" s="4"/>
    </row>
    <row r="2747" spans="14:14">
      <c r="N2747" s="4"/>
    </row>
    <row r="2748" spans="14:14">
      <c r="N2748" s="4"/>
    </row>
    <row r="2749" spans="14:14">
      <c r="N2749" s="4"/>
    </row>
    <row r="2750" spans="14:14">
      <c r="N2750" s="4"/>
    </row>
    <row r="2751" spans="14:14">
      <c r="N2751" s="4"/>
    </row>
    <row r="2752" spans="14:14">
      <c r="N2752" s="4"/>
    </row>
    <row r="2753" spans="14:14">
      <c r="N2753" s="4"/>
    </row>
    <row r="2754" spans="14:14">
      <c r="N2754" s="4"/>
    </row>
    <row r="2755" spans="14:14">
      <c r="N2755" s="4"/>
    </row>
    <row r="2756" spans="14:14">
      <c r="N2756" s="4"/>
    </row>
    <row r="2757" spans="14:14">
      <c r="N2757" s="4"/>
    </row>
    <row r="2758" spans="14:14">
      <c r="N2758" s="4"/>
    </row>
    <row r="2759" spans="14:14">
      <c r="N2759" s="4"/>
    </row>
    <row r="2760" spans="14:14">
      <c r="N2760" s="4"/>
    </row>
    <row r="2761" spans="14:14">
      <c r="N2761" s="4"/>
    </row>
    <row r="2762" spans="14:14">
      <c r="N2762" s="4"/>
    </row>
    <row r="2763" spans="14:14">
      <c r="N2763" s="4"/>
    </row>
    <row r="2764" spans="14:14">
      <c r="N2764" s="4"/>
    </row>
    <row r="2765" spans="14:14">
      <c r="N2765" s="4"/>
    </row>
    <row r="2766" spans="14:14">
      <c r="N2766" s="4"/>
    </row>
    <row r="2767" spans="14:14">
      <c r="N2767" s="4"/>
    </row>
    <row r="2768" spans="14:14">
      <c r="N2768" s="4"/>
    </row>
    <row r="2769" spans="14:14">
      <c r="N2769" s="4"/>
    </row>
    <row r="2770" spans="14:14">
      <c r="N2770" s="4"/>
    </row>
    <row r="2771" spans="14:14">
      <c r="N2771" s="4"/>
    </row>
    <row r="2772" spans="14:14">
      <c r="N2772" s="4"/>
    </row>
    <row r="2773" spans="14:14">
      <c r="N2773" s="4"/>
    </row>
    <row r="2774" spans="14:14">
      <c r="N2774" s="4"/>
    </row>
    <row r="2775" spans="14:14">
      <c r="N2775" s="4"/>
    </row>
    <row r="2776" spans="14:14">
      <c r="N2776" s="4"/>
    </row>
    <row r="2777" spans="14:14">
      <c r="N2777" s="4"/>
    </row>
    <row r="2778" spans="14:14">
      <c r="N2778" s="4"/>
    </row>
    <row r="2779" spans="14:14">
      <c r="N2779" s="4"/>
    </row>
    <row r="2780" spans="14:14">
      <c r="N2780" s="4"/>
    </row>
    <row r="2781" spans="14:14">
      <c r="N2781" s="4"/>
    </row>
    <row r="2782" spans="14:14">
      <c r="N2782" s="4"/>
    </row>
    <row r="2783" spans="14:14">
      <c r="N2783" s="4"/>
    </row>
    <row r="2784" spans="14:14">
      <c r="N2784" s="4"/>
    </row>
    <row r="2785" spans="14:14">
      <c r="N2785" s="4"/>
    </row>
    <row r="2786" spans="14:14">
      <c r="N2786" s="4"/>
    </row>
    <row r="2787" spans="14:14">
      <c r="N2787" s="4"/>
    </row>
    <row r="2788" spans="14:14">
      <c r="N2788" s="4"/>
    </row>
    <row r="2789" spans="14:14">
      <c r="N2789" s="4"/>
    </row>
    <row r="2790" spans="14:14">
      <c r="N2790" s="4"/>
    </row>
    <row r="2791" spans="14:14">
      <c r="N2791" s="4"/>
    </row>
    <row r="2792" spans="14:14">
      <c r="N2792" s="4"/>
    </row>
    <row r="2793" spans="14:14">
      <c r="N2793" s="4"/>
    </row>
    <row r="2794" spans="14:14">
      <c r="N2794" s="4"/>
    </row>
    <row r="2795" spans="14:14">
      <c r="N2795" s="4"/>
    </row>
    <row r="2796" spans="14:14">
      <c r="N2796" s="4"/>
    </row>
    <row r="2797" spans="14:14">
      <c r="N2797" s="4"/>
    </row>
    <row r="2798" spans="14:14">
      <c r="N2798" s="4"/>
    </row>
    <row r="2799" spans="14:14">
      <c r="N2799" s="4"/>
    </row>
    <row r="2800" spans="14:14">
      <c r="N2800" s="4"/>
    </row>
    <row r="2801" spans="14:14">
      <c r="N2801" s="4"/>
    </row>
    <row r="2802" spans="14:14">
      <c r="N2802" s="4"/>
    </row>
    <row r="2803" spans="14:14">
      <c r="N2803" s="4"/>
    </row>
    <row r="2804" spans="14:14">
      <c r="N2804" s="4"/>
    </row>
    <row r="2805" spans="14:14">
      <c r="N2805" s="4"/>
    </row>
    <row r="2806" spans="14:14">
      <c r="N2806" s="4"/>
    </row>
    <row r="2807" spans="14:14">
      <c r="N2807" s="4"/>
    </row>
    <row r="2808" spans="14:14">
      <c r="N2808" s="4"/>
    </row>
    <row r="2809" spans="14:14">
      <c r="N2809" s="4"/>
    </row>
    <row r="2810" spans="14:14">
      <c r="N2810" s="4"/>
    </row>
    <row r="2811" spans="14:14">
      <c r="N2811" s="4"/>
    </row>
    <row r="2812" spans="14:14">
      <c r="N2812" s="4"/>
    </row>
    <row r="2813" spans="14:14">
      <c r="N2813" s="4"/>
    </row>
    <row r="2814" spans="14:14">
      <c r="N2814" s="4"/>
    </row>
    <row r="2815" spans="14:14">
      <c r="N2815" s="4"/>
    </row>
    <row r="2816" spans="14:14">
      <c r="N2816" s="4"/>
    </row>
    <row r="2817" spans="14:14">
      <c r="N2817" s="4"/>
    </row>
    <row r="2818" spans="14:14">
      <c r="N2818" s="4"/>
    </row>
    <row r="2819" spans="14:14">
      <c r="N2819" s="4"/>
    </row>
    <row r="2820" spans="14:14">
      <c r="N2820" s="4"/>
    </row>
    <row r="2821" spans="14:14">
      <c r="N2821" s="4"/>
    </row>
    <row r="2822" spans="14:14">
      <c r="N2822" s="4"/>
    </row>
    <row r="2823" spans="14:14">
      <c r="N2823" s="4"/>
    </row>
    <row r="2824" spans="14:14">
      <c r="N2824" s="4"/>
    </row>
    <row r="2825" spans="14:14">
      <c r="N2825" s="4"/>
    </row>
    <row r="2826" spans="14:14">
      <c r="N2826" s="4"/>
    </row>
    <row r="2827" spans="14:14">
      <c r="N2827" s="4"/>
    </row>
    <row r="2828" spans="14:14">
      <c r="N2828" s="4"/>
    </row>
    <row r="2829" spans="14:14">
      <c r="N2829" s="4"/>
    </row>
    <row r="2830" spans="14:14">
      <c r="N2830" s="4"/>
    </row>
    <row r="2831" spans="14:14">
      <c r="N2831" s="4"/>
    </row>
    <row r="2832" spans="14:14">
      <c r="N2832" s="4"/>
    </row>
    <row r="2833" spans="14:14">
      <c r="N2833" s="4"/>
    </row>
    <row r="2834" spans="14:14">
      <c r="N2834" s="4"/>
    </row>
    <row r="2835" spans="14:14">
      <c r="N2835" s="4"/>
    </row>
    <row r="2836" spans="14:14">
      <c r="N2836" s="4"/>
    </row>
    <row r="2837" spans="14:14">
      <c r="N2837" s="4"/>
    </row>
    <row r="2838" spans="14:14">
      <c r="N2838" s="4"/>
    </row>
    <row r="2839" spans="14:14">
      <c r="N2839" s="4"/>
    </row>
    <row r="2840" spans="14:14">
      <c r="N2840" s="4"/>
    </row>
    <row r="2841" spans="14:14">
      <c r="N2841" s="4"/>
    </row>
    <row r="2842" spans="14:14">
      <c r="N2842" s="4"/>
    </row>
    <row r="2843" spans="14:14">
      <c r="N2843" s="4"/>
    </row>
    <row r="2844" spans="14:14">
      <c r="N2844" s="4"/>
    </row>
    <row r="2845" spans="14:14">
      <c r="N2845" s="4"/>
    </row>
    <row r="2846" spans="14:14">
      <c r="N2846" s="4"/>
    </row>
    <row r="2847" spans="14:14">
      <c r="N2847" s="4"/>
    </row>
    <row r="2848" spans="14:14">
      <c r="N2848" s="4"/>
    </row>
    <row r="2849" spans="14:14">
      <c r="N2849" s="4"/>
    </row>
    <row r="2850" spans="14:14">
      <c r="N2850" s="4"/>
    </row>
    <row r="2851" spans="14:14">
      <c r="N2851" s="4"/>
    </row>
    <row r="2852" spans="14:14">
      <c r="N2852" s="4"/>
    </row>
    <row r="2853" spans="14:14">
      <c r="N2853" s="4"/>
    </row>
    <row r="2854" spans="14:14">
      <c r="N2854" s="4"/>
    </row>
    <row r="2855" spans="14:14">
      <c r="N2855" s="4"/>
    </row>
    <row r="2856" spans="14:14">
      <c r="N2856" s="4"/>
    </row>
    <row r="2857" spans="14:14">
      <c r="N2857" s="4"/>
    </row>
    <row r="2858" spans="14:14">
      <c r="N2858" s="4"/>
    </row>
    <row r="2859" spans="14:14">
      <c r="N2859" s="4"/>
    </row>
    <row r="2860" spans="14:14">
      <c r="N2860" s="4"/>
    </row>
    <row r="2861" spans="14:14">
      <c r="N2861" s="4"/>
    </row>
    <row r="2862" spans="14:14">
      <c r="N2862" s="4"/>
    </row>
    <row r="2863" spans="14:14">
      <c r="N2863" s="4"/>
    </row>
    <row r="2864" spans="14:14">
      <c r="N2864" s="4"/>
    </row>
    <row r="2865" spans="14:14">
      <c r="N2865" s="4"/>
    </row>
    <row r="2866" spans="14:14">
      <c r="N2866" s="4"/>
    </row>
    <row r="2867" spans="14:14">
      <c r="N2867" s="4"/>
    </row>
    <row r="2868" spans="14:14">
      <c r="N2868" s="4"/>
    </row>
    <row r="2869" spans="14:14">
      <c r="N2869" s="4"/>
    </row>
    <row r="2870" spans="14:14">
      <c r="N2870" s="4"/>
    </row>
    <row r="2871" spans="14:14">
      <c r="N2871" s="4"/>
    </row>
    <row r="2872" spans="14:14">
      <c r="N2872" s="4"/>
    </row>
    <row r="2873" spans="14:14">
      <c r="N2873" s="4"/>
    </row>
    <row r="2874" spans="14:14">
      <c r="N2874" s="4"/>
    </row>
    <row r="2875" spans="14:14">
      <c r="N2875" s="4"/>
    </row>
    <row r="2876" spans="14:14">
      <c r="N2876" s="4"/>
    </row>
    <row r="2877" spans="14:14">
      <c r="N2877" s="4"/>
    </row>
    <row r="2878" spans="14:14">
      <c r="N2878" s="4"/>
    </row>
    <row r="2879" spans="14:14">
      <c r="N2879" s="4"/>
    </row>
    <row r="2880" spans="14:14">
      <c r="N2880" s="4"/>
    </row>
    <row r="2881" spans="14:14">
      <c r="N2881" s="4"/>
    </row>
    <row r="2882" spans="14:14">
      <c r="N2882" s="4"/>
    </row>
    <row r="2883" spans="14:14">
      <c r="N2883" s="4"/>
    </row>
    <row r="2884" spans="14:14">
      <c r="N2884" s="4"/>
    </row>
    <row r="2885" spans="14:14">
      <c r="N2885" s="4"/>
    </row>
    <row r="2886" spans="14:14">
      <c r="N2886" s="4"/>
    </row>
    <row r="2887" spans="14:14">
      <c r="N2887" s="4"/>
    </row>
    <row r="2888" spans="14:14">
      <c r="N2888" s="4"/>
    </row>
    <row r="2889" spans="14:14">
      <c r="N2889" s="4"/>
    </row>
    <row r="2890" spans="14:14">
      <c r="N2890" s="4"/>
    </row>
    <row r="2891" spans="14:14">
      <c r="N2891" s="4"/>
    </row>
    <row r="2892" spans="14:14">
      <c r="N2892" s="4"/>
    </row>
    <row r="2893" spans="14:14">
      <c r="N2893" s="4"/>
    </row>
    <row r="2894" spans="14:14">
      <c r="N2894" s="4"/>
    </row>
    <row r="2895" spans="14:14">
      <c r="N2895" s="4"/>
    </row>
    <row r="2896" spans="14:14">
      <c r="N2896" s="4"/>
    </row>
    <row r="2897" spans="14:14">
      <c r="N2897" s="4"/>
    </row>
    <row r="2898" spans="14:14">
      <c r="N2898" s="4"/>
    </row>
    <row r="2899" spans="14:14">
      <c r="N2899" s="4"/>
    </row>
    <row r="2900" spans="14:14">
      <c r="N2900" s="4"/>
    </row>
    <row r="2901" spans="14:14">
      <c r="N2901" s="4"/>
    </row>
    <row r="2902" spans="14:14">
      <c r="N2902" s="4"/>
    </row>
    <row r="2903" spans="14:14">
      <c r="N2903" s="4"/>
    </row>
    <row r="2904" spans="14:14">
      <c r="N2904" s="4"/>
    </row>
    <row r="2905" spans="14:14">
      <c r="N2905" s="4"/>
    </row>
    <row r="2906" spans="14:14">
      <c r="N2906" s="4"/>
    </row>
    <row r="2907" spans="14:14">
      <c r="N2907" s="4"/>
    </row>
    <row r="2908" spans="14:14">
      <c r="N2908" s="4"/>
    </row>
    <row r="2909" spans="14:14">
      <c r="N2909" s="4"/>
    </row>
    <row r="2910" spans="14:14">
      <c r="N2910" s="4"/>
    </row>
    <row r="2911" spans="14:14">
      <c r="N2911" s="4"/>
    </row>
    <row r="2912" spans="14:14">
      <c r="N2912" s="4"/>
    </row>
    <row r="2913" spans="14:14">
      <c r="N2913" s="4"/>
    </row>
    <row r="2914" spans="14:14">
      <c r="N2914" s="4"/>
    </row>
    <row r="2915" spans="14:14">
      <c r="N2915" s="4"/>
    </row>
    <row r="2916" spans="14:14">
      <c r="N2916" s="4"/>
    </row>
    <row r="2917" spans="14:14">
      <c r="N2917" s="4"/>
    </row>
    <row r="2918" spans="14:14">
      <c r="N2918" s="4"/>
    </row>
    <row r="2919" spans="14:14">
      <c r="N2919" s="4"/>
    </row>
    <row r="2920" spans="14:14">
      <c r="N2920" s="4"/>
    </row>
    <row r="2921" spans="14:14">
      <c r="N2921" s="4"/>
    </row>
    <row r="2922" spans="14:14">
      <c r="N2922" s="4"/>
    </row>
    <row r="2923" spans="14:14">
      <c r="N2923" s="4"/>
    </row>
    <row r="2924" spans="14:14">
      <c r="N2924" s="4"/>
    </row>
    <row r="2925" spans="14:14">
      <c r="N2925" s="4"/>
    </row>
    <row r="2926" spans="14:14">
      <c r="N2926" s="4"/>
    </row>
    <row r="2927" spans="14:14">
      <c r="N2927" s="4"/>
    </row>
    <row r="2928" spans="14:14">
      <c r="N2928" s="4"/>
    </row>
    <row r="2929" spans="14:14">
      <c r="N2929" s="4"/>
    </row>
    <row r="2930" spans="14:14">
      <c r="N2930" s="4"/>
    </row>
    <row r="2931" spans="14:14">
      <c r="N2931" s="4"/>
    </row>
    <row r="2932" spans="14:14">
      <c r="N2932" s="4"/>
    </row>
    <row r="2933" spans="14:14">
      <c r="N2933" s="4"/>
    </row>
    <row r="2934" spans="14:14">
      <c r="N2934" s="4"/>
    </row>
    <row r="2935" spans="14:14">
      <c r="N2935" s="4"/>
    </row>
    <row r="2936" spans="14:14">
      <c r="N2936" s="4"/>
    </row>
    <row r="2937" spans="14:14">
      <c r="N2937" s="4"/>
    </row>
    <row r="2938" spans="14:14">
      <c r="N2938" s="4"/>
    </row>
    <row r="2939" spans="14:14">
      <c r="N2939" s="4"/>
    </row>
    <row r="2940" spans="14:14">
      <c r="N2940" s="4"/>
    </row>
    <row r="2941" spans="14:14">
      <c r="N2941" s="4"/>
    </row>
    <row r="2942" spans="14:14">
      <c r="N2942" s="4"/>
    </row>
    <row r="2943" spans="14:14">
      <c r="N2943" s="4"/>
    </row>
    <row r="2944" spans="14:14">
      <c r="N2944" s="4"/>
    </row>
    <row r="2945" spans="14:14">
      <c r="N2945" s="4"/>
    </row>
    <row r="2946" spans="14:14">
      <c r="N2946" s="4"/>
    </row>
    <row r="2947" spans="14:14">
      <c r="N2947" s="4"/>
    </row>
    <row r="2948" spans="14:14">
      <c r="N2948" s="4"/>
    </row>
    <row r="2949" spans="14:14">
      <c r="N2949" s="4"/>
    </row>
    <row r="2950" spans="14:14">
      <c r="N2950" s="4"/>
    </row>
    <row r="2951" spans="14:14">
      <c r="N2951" s="4"/>
    </row>
    <row r="2952" spans="14:14">
      <c r="N2952" s="4"/>
    </row>
    <row r="2953" spans="14:14">
      <c r="N2953" s="4"/>
    </row>
    <row r="2954" spans="14:14">
      <c r="N2954" s="4"/>
    </row>
    <row r="2955" spans="14:14">
      <c r="N2955" s="4"/>
    </row>
    <row r="2956" spans="14:14">
      <c r="N2956" s="4"/>
    </row>
    <row r="2957" spans="14:14">
      <c r="N2957" s="4"/>
    </row>
    <row r="2958" spans="14:14">
      <c r="N2958" s="4"/>
    </row>
    <row r="2959" spans="14:14">
      <c r="N2959" s="4"/>
    </row>
    <row r="2960" spans="14:14">
      <c r="N2960" s="4"/>
    </row>
    <row r="2961" spans="14:14">
      <c r="N2961" s="4"/>
    </row>
    <row r="2962" spans="14:14">
      <c r="N2962" s="4"/>
    </row>
    <row r="2963" spans="14:14">
      <c r="N2963" s="4"/>
    </row>
    <row r="2964" spans="14:14">
      <c r="N2964" s="4"/>
    </row>
    <row r="2965" spans="14:14">
      <c r="N2965" s="4"/>
    </row>
    <row r="2966" spans="14:14">
      <c r="N2966" s="4"/>
    </row>
    <row r="2967" spans="14:14">
      <c r="N2967" s="4"/>
    </row>
    <row r="2968" spans="14:14">
      <c r="N2968" s="4"/>
    </row>
    <row r="2969" spans="14:14">
      <c r="N2969" s="4"/>
    </row>
    <row r="2970" spans="14:14">
      <c r="N2970" s="4"/>
    </row>
    <row r="2971" spans="14:14">
      <c r="N2971" s="4"/>
    </row>
    <row r="2972" spans="14:14">
      <c r="N2972" s="4"/>
    </row>
    <row r="2973" spans="14:14">
      <c r="N2973" s="4"/>
    </row>
    <row r="2974" spans="14:14">
      <c r="N2974" s="4"/>
    </row>
    <row r="2975" spans="14:14">
      <c r="N2975" s="4"/>
    </row>
    <row r="2976" spans="14:14">
      <c r="N2976" s="4"/>
    </row>
    <row r="2977" spans="14:14">
      <c r="N2977" s="4"/>
    </row>
    <row r="2978" spans="14:14">
      <c r="N2978" s="4"/>
    </row>
    <row r="2979" spans="14:14">
      <c r="N2979" s="4"/>
    </row>
    <row r="2980" spans="14:14">
      <c r="N2980" s="4"/>
    </row>
    <row r="2981" spans="14:14">
      <c r="N2981" s="4"/>
    </row>
    <row r="2982" spans="14:14">
      <c r="N2982" s="4"/>
    </row>
    <row r="2983" spans="14:14">
      <c r="N2983" s="4"/>
    </row>
    <row r="2984" spans="14:14">
      <c r="N2984" s="4"/>
    </row>
    <row r="2985" spans="14:14">
      <c r="N2985" s="4"/>
    </row>
    <row r="2986" spans="14:14">
      <c r="N2986" s="4"/>
    </row>
    <row r="2987" spans="14:14">
      <c r="N2987" s="4"/>
    </row>
    <row r="2988" spans="14:14">
      <c r="N2988" s="4"/>
    </row>
    <row r="2989" spans="14:14">
      <c r="N2989" s="4"/>
    </row>
    <row r="2990" spans="14:14">
      <c r="N2990" s="4"/>
    </row>
    <row r="2991" spans="14:14">
      <c r="N2991" s="4"/>
    </row>
    <row r="2992" spans="14:14">
      <c r="N2992" s="4"/>
    </row>
    <row r="2993" spans="14:14">
      <c r="N2993" s="4"/>
    </row>
    <row r="2994" spans="14:14">
      <c r="N2994" s="4"/>
    </row>
    <row r="2995" spans="14:14">
      <c r="N2995" s="4"/>
    </row>
    <row r="2996" spans="14:14">
      <c r="N2996" s="4"/>
    </row>
    <row r="2997" spans="14:14">
      <c r="N2997" s="4"/>
    </row>
    <row r="2998" spans="14:14">
      <c r="N2998" s="4"/>
    </row>
    <row r="2999" spans="14:14">
      <c r="N2999" s="4"/>
    </row>
    <row r="3000" spans="14:14">
      <c r="N3000" s="4"/>
    </row>
    <row r="3001" spans="14:14">
      <c r="N3001" s="4"/>
    </row>
    <row r="3002" spans="14:14">
      <c r="N3002" s="4"/>
    </row>
    <row r="3003" spans="14:14">
      <c r="N3003" s="4"/>
    </row>
    <row r="3004" spans="14:14">
      <c r="N3004" s="4"/>
    </row>
    <row r="3005" spans="14:14">
      <c r="N3005" s="4"/>
    </row>
    <row r="3006" spans="14:14">
      <c r="N3006" s="4"/>
    </row>
    <row r="3007" spans="14:14">
      <c r="N3007" s="4"/>
    </row>
    <row r="3008" spans="14:14">
      <c r="N3008" s="4"/>
    </row>
    <row r="3009" spans="14:14">
      <c r="N3009" s="4"/>
    </row>
    <row r="3010" spans="14:14">
      <c r="N3010" s="4"/>
    </row>
    <row r="3011" spans="14:14">
      <c r="N3011" s="4"/>
    </row>
    <row r="3012" spans="14:14">
      <c r="N3012" s="4"/>
    </row>
    <row r="3013" spans="14:14">
      <c r="N3013" s="4"/>
    </row>
    <row r="3014" spans="14:14">
      <c r="N3014" s="4"/>
    </row>
    <row r="3015" spans="14:14">
      <c r="N3015" s="4"/>
    </row>
    <row r="3016" spans="14:14">
      <c r="N3016" s="4"/>
    </row>
    <row r="3017" spans="14:14">
      <c r="N3017" s="4"/>
    </row>
    <row r="3018" spans="14:14">
      <c r="N3018" s="4"/>
    </row>
    <row r="3019" spans="14:14">
      <c r="N3019" s="4"/>
    </row>
    <row r="3020" spans="14:14">
      <c r="N3020" s="4"/>
    </row>
    <row r="3021" spans="14:14">
      <c r="N3021" s="4"/>
    </row>
    <row r="3022" spans="14:14">
      <c r="N3022" s="4"/>
    </row>
    <row r="3023" spans="14:14">
      <c r="N3023" s="4"/>
    </row>
    <row r="3024" spans="14:14">
      <c r="N3024" s="4"/>
    </row>
    <row r="3025" spans="14:14">
      <c r="N3025" s="4"/>
    </row>
    <row r="3026" spans="14:14">
      <c r="N3026" s="4"/>
    </row>
    <row r="3027" spans="14:14">
      <c r="N3027" s="4"/>
    </row>
    <row r="3028" spans="14:14">
      <c r="N3028" s="4"/>
    </row>
    <row r="3029" spans="14:14">
      <c r="N3029" s="4"/>
    </row>
    <row r="3030" spans="14:14">
      <c r="N3030" s="4"/>
    </row>
    <row r="3031" spans="14:14">
      <c r="N3031" s="4"/>
    </row>
    <row r="3032" spans="14:14">
      <c r="N3032" s="4"/>
    </row>
    <row r="3033" spans="14:14">
      <c r="N3033" s="4"/>
    </row>
    <row r="3034" spans="14:14">
      <c r="N3034" s="4"/>
    </row>
    <row r="3035" spans="14:14">
      <c r="N3035" s="4"/>
    </row>
    <row r="3036" spans="14:14">
      <c r="N3036" s="4"/>
    </row>
    <row r="3037" spans="14:14">
      <c r="N3037" s="4"/>
    </row>
    <row r="3038" spans="14:14">
      <c r="N3038" s="4"/>
    </row>
    <row r="3039" spans="14:14">
      <c r="N3039" s="4"/>
    </row>
    <row r="3040" spans="14:14">
      <c r="N3040" s="4"/>
    </row>
    <row r="3041" spans="14:14">
      <c r="N3041" s="4"/>
    </row>
    <row r="3042" spans="14:14">
      <c r="N3042" s="4"/>
    </row>
    <row r="3043" spans="14:14">
      <c r="N3043" s="4"/>
    </row>
    <row r="3044" spans="14:14">
      <c r="N3044" s="4"/>
    </row>
    <row r="3045" spans="14:14">
      <c r="N3045" s="4"/>
    </row>
    <row r="3046" spans="14:14">
      <c r="N3046" s="4"/>
    </row>
    <row r="3047" spans="14:14">
      <c r="N3047" s="4"/>
    </row>
    <row r="3048" spans="14:14">
      <c r="N3048" s="4"/>
    </row>
    <row r="3049" spans="14:14">
      <c r="N3049" s="4"/>
    </row>
    <row r="3050" spans="14:14">
      <c r="N3050" s="4"/>
    </row>
    <row r="3051" spans="14:14">
      <c r="N3051" s="4"/>
    </row>
    <row r="3052" spans="14:14">
      <c r="N3052" s="4"/>
    </row>
    <row r="3053" spans="14:14">
      <c r="N3053" s="4"/>
    </row>
    <row r="3054" spans="14:14">
      <c r="N3054" s="4"/>
    </row>
    <row r="3055" spans="14:14">
      <c r="N3055" s="4"/>
    </row>
    <row r="3056" spans="14:14">
      <c r="N3056" s="4"/>
    </row>
    <row r="3057" spans="14:14">
      <c r="N3057" s="4"/>
    </row>
    <row r="3058" spans="14:14">
      <c r="N3058" s="4"/>
    </row>
    <row r="3059" spans="14:14">
      <c r="N3059" s="4"/>
    </row>
    <row r="3060" spans="14:14">
      <c r="N3060" s="4"/>
    </row>
    <row r="3061" spans="14:14">
      <c r="N3061" s="4"/>
    </row>
    <row r="3062" spans="14:14">
      <c r="N3062" s="4"/>
    </row>
    <row r="3063" spans="14:14">
      <c r="N3063" s="4"/>
    </row>
    <row r="3064" spans="14:14">
      <c r="N3064" s="4"/>
    </row>
    <row r="3065" spans="14:14">
      <c r="N3065" s="4"/>
    </row>
    <row r="3066" spans="14:14">
      <c r="N3066" s="4"/>
    </row>
    <row r="3067" spans="14:14">
      <c r="N3067" s="4"/>
    </row>
    <row r="3068" spans="14:14">
      <c r="N3068" s="4"/>
    </row>
    <row r="3069" spans="14:14">
      <c r="N3069" s="4"/>
    </row>
    <row r="3070" spans="14:14">
      <c r="N3070" s="4"/>
    </row>
    <row r="3071" spans="14:14">
      <c r="N3071" s="4"/>
    </row>
    <row r="3072" spans="14:14">
      <c r="N3072" s="4"/>
    </row>
    <row r="3073" spans="14:14">
      <c r="N3073" s="4"/>
    </row>
    <row r="3074" spans="14:14">
      <c r="N3074" s="4"/>
    </row>
    <row r="3075" spans="14:14">
      <c r="N3075" s="4"/>
    </row>
    <row r="3076" spans="14:14">
      <c r="N3076" s="4"/>
    </row>
    <row r="3077" spans="14:14">
      <c r="N3077" s="4"/>
    </row>
    <row r="3078" spans="14:14">
      <c r="N3078" s="4"/>
    </row>
    <row r="3079" spans="14:14">
      <c r="N3079" s="4"/>
    </row>
    <row r="3080" spans="14:14">
      <c r="N3080" s="4"/>
    </row>
    <row r="3081" spans="14:14">
      <c r="N3081" s="4"/>
    </row>
    <row r="3082" spans="14:14">
      <c r="N3082" s="4"/>
    </row>
    <row r="3083" spans="14:14">
      <c r="N3083" s="4"/>
    </row>
    <row r="3084" spans="14:14">
      <c r="N3084" s="4"/>
    </row>
    <row r="3085" spans="14:14">
      <c r="N3085" s="4"/>
    </row>
    <row r="3086" spans="14:14">
      <c r="N3086" s="4"/>
    </row>
    <row r="3087" spans="14:14">
      <c r="N3087" s="4"/>
    </row>
    <row r="3088" spans="14:14">
      <c r="N3088" s="4"/>
    </row>
    <row r="3089" spans="14:14">
      <c r="N3089" s="4"/>
    </row>
    <row r="3090" spans="14:14">
      <c r="N3090" s="4"/>
    </row>
    <row r="3091" spans="14:14">
      <c r="N3091" s="4"/>
    </row>
    <row r="3092" spans="14:14">
      <c r="N3092" s="4"/>
    </row>
    <row r="3093" spans="14:14">
      <c r="N3093" s="4"/>
    </row>
    <row r="3094" spans="14:14">
      <c r="N3094" s="4"/>
    </row>
    <row r="3095" spans="14:14">
      <c r="N3095" s="4"/>
    </row>
    <row r="3096" spans="14:14">
      <c r="N3096" s="4"/>
    </row>
    <row r="3097" spans="14:14">
      <c r="N3097" s="4"/>
    </row>
    <row r="3098" spans="14:14">
      <c r="N3098" s="4"/>
    </row>
    <row r="3099" spans="14:14">
      <c r="N3099" s="4"/>
    </row>
    <row r="3100" spans="14:14">
      <c r="N3100" s="4"/>
    </row>
    <row r="3101" spans="14:14">
      <c r="N3101" s="4"/>
    </row>
    <row r="3102" spans="14:14">
      <c r="N3102" s="4"/>
    </row>
    <row r="3103" spans="14:14">
      <c r="N3103" s="4"/>
    </row>
    <row r="3104" spans="14:14">
      <c r="N3104" s="4"/>
    </row>
    <row r="3105" spans="14:14">
      <c r="N3105" s="4"/>
    </row>
    <row r="3106" spans="14:14">
      <c r="N3106" s="4"/>
    </row>
    <row r="3107" spans="14:14">
      <c r="N3107" s="4"/>
    </row>
    <row r="3108" spans="14:14">
      <c r="N3108" s="4"/>
    </row>
    <row r="3109" spans="14:14">
      <c r="N3109" s="4"/>
    </row>
    <row r="3110" spans="14:14">
      <c r="N3110" s="4"/>
    </row>
    <row r="3111" spans="14:14">
      <c r="N3111" s="4"/>
    </row>
    <row r="3112" spans="14:14">
      <c r="N3112" s="4"/>
    </row>
    <row r="3113" spans="14:14">
      <c r="N3113" s="4"/>
    </row>
    <row r="3114" spans="14:14">
      <c r="N3114" s="4"/>
    </row>
    <row r="3115" spans="14:14">
      <c r="N3115" s="4"/>
    </row>
    <row r="3116" spans="14:14">
      <c r="N3116" s="4"/>
    </row>
    <row r="3117" spans="14:14">
      <c r="N3117" s="4"/>
    </row>
    <row r="3118" spans="14:14">
      <c r="N3118" s="4"/>
    </row>
    <row r="3119" spans="14:14">
      <c r="N3119" s="4"/>
    </row>
    <row r="3120" spans="14:14">
      <c r="N3120" s="4"/>
    </row>
    <row r="3121" spans="14:14">
      <c r="N3121" s="4"/>
    </row>
    <row r="3122" spans="14:14">
      <c r="N3122" s="4"/>
    </row>
    <row r="3123" spans="14:14">
      <c r="N3123" s="4"/>
    </row>
    <row r="3124" spans="14:14">
      <c r="N3124" s="4"/>
    </row>
    <row r="3125" spans="14:14">
      <c r="N3125" s="4"/>
    </row>
    <row r="3126" spans="14:14">
      <c r="N3126" s="4"/>
    </row>
    <row r="3127" spans="14:14">
      <c r="N3127" s="4"/>
    </row>
    <row r="3128" spans="14:14">
      <c r="N3128" s="4"/>
    </row>
    <row r="3129" spans="14:14">
      <c r="N3129" s="4"/>
    </row>
    <row r="3130" spans="14:14">
      <c r="N3130" s="4"/>
    </row>
    <row r="3131" spans="14:14">
      <c r="N3131" s="4"/>
    </row>
    <row r="3132" spans="14:14">
      <c r="N3132" s="4"/>
    </row>
    <row r="3133" spans="14:14">
      <c r="N3133" s="4"/>
    </row>
    <row r="3134" spans="14:14">
      <c r="N3134" s="4"/>
    </row>
    <row r="3135" spans="14:14">
      <c r="N3135" s="4"/>
    </row>
    <row r="3136" spans="14:14">
      <c r="N3136" s="4"/>
    </row>
    <row r="3137" spans="14:14">
      <c r="N3137" s="4"/>
    </row>
    <row r="3138" spans="14:14">
      <c r="N3138" s="4"/>
    </row>
    <row r="3139" spans="14:14">
      <c r="N3139" s="4"/>
    </row>
    <row r="3140" spans="14:14">
      <c r="N3140" s="4"/>
    </row>
    <row r="3141" spans="14:14">
      <c r="N3141" s="4"/>
    </row>
    <row r="3142" spans="14:14">
      <c r="N3142" s="4"/>
    </row>
    <row r="3143" spans="14:14">
      <c r="N3143" s="4"/>
    </row>
    <row r="3144" spans="14:14">
      <c r="N3144" s="4"/>
    </row>
    <row r="3145" spans="14:14">
      <c r="N3145" s="4"/>
    </row>
    <row r="3146" spans="14:14">
      <c r="N3146" s="4"/>
    </row>
    <row r="3147" spans="14:14">
      <c r="N3147" s="4"/>
    </row>
    <row r="3148" spans="14:14">
      <c r="N3148" s="4"/>
    </row>
    <row r="3149" spans="14:14">
      <c r="N3149" s="4"/>
    </row>
    <row r="3150" spans="14:14">
      <c r="N3150" s="4"/>
    </row>
    <row r="3151" spans="14:14">
      <c r="N3151" s="4"/>
    </row>
    <row r="3152" spans="14:14">
      <c r="N3152" s="4"/>
    </row>
    <row r="3153" spans="14:14">
      <c r="N3153" s="4"/>
    </row>
    <row r="3154" spans="14:14">
      <c r="N3154" s="4"/>
    </row>
    <row r="3155" spans="14:14">
      <c r="N3155" s="4"/>
    </row>
    <row r="3156" spans="14:14">
      <c r="N3156" s="4"/>
    </row>
    <row r="3157" spans="14:14">
      <c r="N3157" s="4"/>
    </row>
    <row r="3158" spans="14:14">
      <c r="N3158" s="4"/>
    </row>
    <row r="3159" spans="14:14">
      <c r="N3159" s="4"/>
    </row>
    <row r="3160" spans="14:14">
      <c r="N3160" s="4"/>
    </row>
    <row r="3161" spans="14:14">
      <c r="N3161" s="4"/>
    </row>
    <row r="3162" spans="14:14">
      <c r="N3162" s="4"/>
    </row>
    <row r="3163" spans="14:14">
      <c r="N3163" s="4"/>
    </row>
    <row r="3164" spans="14:14">
      <c r="N3164" s="4"/>
    </row>
    <row r="3165" spans="14:14">
      <c r="N3165" s="4"/>
    </row>
    <row r="3166" spans="14:14">
      <c r="N3166" s="4"/>
    </row>
    <row r="3167" spans="14:14">
      <c r="N3167" s="4"/>
    </row>
    <row r="3168" spans="14:14">
      <c r="N3168" s="4"/>
    </row>
    <row r="3169" spans="14:14">
      <c r="N3169" s="4"/>
    </row>
    <row r="3170" spans="14:14">
      <c r="N3170" s="4"/>
    </row>
    <row r="3171" spans="14:14">
      <c r="N3171" s="4"/>
    </row>
    <row r="3172" spans="14:14">
      <c r="N3172" s="4"/>
    </row>
    <row r="3173" spans="14:14">
      <c r="N3173" s="4"/>
    </row>
    <row r="3174" spans="14:14">
      <c r="N3174" s="4"/>
    </row>
    <row r="3175" spans="14:14">
      <c r="N3175" s="4"/>
    </row>
    <row r="3176" spans="14:14">
      <c r="N3176" s="4"/>
    </row>
    <row r="3177" spans="14:14">
      <c r="N3177" s="4"/>
    </row>
    <row r="3178" spans="14:14">
      <c r="N3178" s="4"/>
    </row>
    <row r="3179" spans="14:14">
      <c r="N3179" s="4"/>
    </row>
    <row r="3180" spans="14:14">
      <c r="N3180" s="4"/>
    </row>
    <row r="3181" spans="14:14">
      <c r="N3181" s="4"/>
    </row>
    <row r="3182" spans="14:14">
      <c r="N3182" s="4"/>
    </row>
    <row r="3183" spans="14:14">
      <c r="N3183" s="4"/>
    </row>
    <row r="3184" spans="14:14">
      <c r="N3184" s="4"/>
    </row>
    <row r="3185" spans="14:14">
      <c r="N3185" s="4"/>
    </row>
    <row r="3186" spans="14:14">
      <c r="N3186" s="4"/>
    </row>
    <row r="3187" spans="14:14">
      <c r="N3187" s="4"/>
    </row>
    <row r="3188" spans="14:14">
      <c r="N3188" s="4"/>
    </row>
    <row r="3189" spans="14:14">
      <c r="N3189" s="4"/>
    </row>
    <row r="3190" spans="14:14">
      <c r="N3190" s="4"/>
    </row>
    <row r="3191" spans="14:14">
      <c r="N3191" s="4"/>
    </row>
    <row r="3192" spans="14:14">
      <c r="N3192" s="4"/>
    </row>
    <row r="3193" spans="14:14">
      <c r="N3193" s="4"/>
    </row>
    <row r="3194" spans="14:14">
      <c r="N3194" s="4"/>
    </row>
    <row r="3195" spans="14:14">
      <c r="N3195" s="4"/>
    </row>
    <row r="3196" spans="14:14">
      <c r="N3196" s="4"/>
    </row>
    <row r="3197" spans="14:14">
      <c r="N3197" s="4"/>
    </row>
    <row r="3198" spans="14:14">
      <c r="N3198" s="4"/>
    </row>
    <row r="3199" spans="14:14">
      <c r="N3199" s="4"/>
    </row>
    <row r="3200" spans="14:14">
      <c r="N3200" s="4"/>
    </row>
    <row r="3201" spans="14:14">
      <c r="N3201" s="4"/>
    </row>
    <row r="3202" spans="14:14">
      <c r="N3202" s="4"/>
    </row>
    <row r="3203" spans="14:14">
      <c r="N3203" s="4"/>
    </row>
    <row r="3204" spans="14:14">
      <c r="N3204" s="4"/>
    </row>
    <row r="3205" spans="14:14">
      <c r="N3205" s="4"/>
    </row>
    <row r="3206" spans="14:14">
      <c r="N3206" s="4"/>
    </row>
    <row r="3207" spans="14:14">
      <c r="N3207" s="4"/>
    </row>
    <row r="3208" spans="14:14">
      <c r="N3208" s="4"/>
    </row>
    <row r="3209" spans="14:14">
      <c r="N3209" s="4"/>
    </row>
    <row r="3210" spans="14:14">
      <c r="N3210" s="4"/>
    </row>
    <row r="3211" spans="14:14">
      <c r="N3211" s="4"/>
    </row>
    <row r="3212" spans="14:14">
      <c r="N3212" s="4"/>
    </row>
    <row r="3213" spans="14:14">
      <c r="N3213" s="4"/>
    </row>
    <row r="3214" spans="14:14">
      <c r="N3214" s="4"/>
    </row>
    <row r="3215" spans="14:14">
      <c r="N3215" s="4"/>
    </row>
    <row r="3216" spans="14:14">
      <c r="N3216" s="4"/>
    </row>
    <row r="3217" spans="14:14">
      <c r="N3217" s="4"/>
    </row>
    <row r="3218" spans="14:14">
      <c r="N3218" s="4"/>
    </row>
    <row r="3219" spans="14:14">
      <c r="N3219" s="4"/>
    </row>
    <row r="3220" spans="14:14">
      <c r="N3220" s="4"/>
    </row>
    <row r="3221" spans="14:14">
      <c r="N3221" s="4"/>
    </row>
    <row r="3222" spans="14:14">
      <c r="N3222" s="4"/>
    </row>
    <row r="3223" spans="14:14">
      <c r="N3223" s="4"/>
    </row>
    <row r="3224" spans="14:14">
      <c r="N3224" s="4"/>
    </row>
    <row r="3225" spans="14:14">
      <c r="N3225" s="4"/>
    </row>
    <row r="3226" spans="14:14">
      <c r="N3226" s="4"/>
    </row>
    <row r="3227" spans="14:14">
      <c r="N3227" s="4"/>
    </row>
    <row r="3228" spans="14:14">
      <c r="N3228" s="4"/>
    </row>
    <row r="3229" spans="14:14">
      <c r="N3229" s="4"/>
    </row>
    <row r="3230" spans="14:14">
      <c r="N3230" s="4"/>
    </row>
    <row r="3231" spans="14:14">
      <c r="N3231" s="4"/>
    </row>
    <row r="3232" spans="14:14">
      <c r="N3232" s="4"/>
    </row>
    <row r="3233" spans="14:14">
      <c r="N3233" s="4"/>
    </row>
    <row r="3234" spans="14:14">
      <c r="N3234" s="4"/>
    </row>
    <row r="3235" spans="14:14">
      <c r="N3235" s="4"/>
    </row>
    <row r="3236" spans="14:14">
      <c r="N3236" s="4"/>
    </row>
    <row r="3237" spans="14:14">
      <c r="N3237" s="4"/>
    </row>
    <row r="3238" spans="14:14">
      <c r="N3238" s="4"/>
    </row>
    <row r="3239" spans="14:14">
      <c r="N3239" s="4"/>
    </row>
    <row r="3240" spans="14:14">
      <c r="N3240" s="4"/>
    </row>
    <row r="3241" spans="14:14">
      <c r="N3241" s="4"/>
    </row>
    <row r="3242" spans="14:14">
      <c r="N3242" s="4"/>
    </row>
    <row r="3243" spans="14:14">
      <c r="N3243" s="4"/>
    </row>
    <row r="3244" spans="14:14">
      <c r="N3244" s="4"/>
    </row>
    <row r="3245" spans="14:14">
      <c r="N3245" s="4"/>
    </row>
    <row r="3246" spans="14:14">
      <c r="N3246" s="4"/>
    </row>
    <row r="3247" spans="14:14">
      <c r="N3247" s="4"/>
    </row>
    <row r="3248" spans="14:14">
      <c r="N3248" s="4"/>
    </row>
    <row r="3249" spans="14:14">
      <c r="N3249" s="4"/>
    </row>
    <row r="3250" spans="14:14">
      <c r="N3250" s="4"/>
    </row>
    <row r="3251" spans="14:14">
      <c r="N3251" s="4"/>
    </row>
    <row r="3252" spans="14:14">
      <c r="N3252" s="4"/>
    </row>
    <row r="3253" spans="14:14">
      <c r="N3253" s="4"/>
    </row>
    <row r="3254" spans="14:14">
      <c r="N3254" s="4"/>
    </row>
    <row r="3255" spans="14:14">
      <c r="N3255" s="4"/>
    </row>
    <row r="3256" spans="14:14">
      <c r="N3256" s="4"/>
    </row>
    <row r="3257" spans="14:14">
      <c r="N3257" s="4"/>
    </row>
    <row r="3258" spans="14:14">
      <c r="N3258" s="4"/>
    </row>
    <row r="3259" spans="14:14">
      <c r="N3259" s="4"/>
    </row>
    <row r="3260" spans="14:14">
      <c r="N3260" s="4"/>
    </row>
    <row r="3261" spans="14:14">
      <c r="N3261" s="4"/>
    </row>
    <row r="3262" spans="14:14">
      <c r="N3262" s="4"/>
    </row>
    <row r="3263" spans="14:14">
      <c r="N3263" s="4"/>
    </row>
    <row r="3264" spans="14:14">
      <c r="N3264" s="4"/>
    </row>
    <row r="3265" spans="14:14">
      <c r="N3265" s="4"/>
    </row>
    <row r="3266" spans="14:14">
      <c r="N3266" s="4"/>
    </row>
    <row r="3267" spans="14:14">
      <c r="N3267" s="4"/>
    </row>
    <row r="3268" spans="14:14">
      <c r="N3268" s="4"/>
    </row>
    <row r="3269" spans="14:14">
      <c r="N3269" s="4"/>
    </row>
    <row r="3270" spans="14:14">
      <c r="N3270" s="4"/>
    </row>
    <row r="3271" spans="14:14">
      <c r="N3271" s="4"/>
    </row>
    <row r="3272" spans="14:14">
      <c r="N3272" s="4"/>
    </row>
    <row r="3273" spans="14:14">
      <c r="N3273" s="4"/>
    </row>
    <row r="3274" spans="14:14">
      <c r="N3274" s="4"/>
    </row>
    <row r="3275" spans="14:14">
      <c r="N3275" s="4"/>
    </row>
    <row r="3276" spans="14:14">
      <c r="N3276" s="4"/>
    </row>
    <row r="3277" spans="14:14">
      <c r="N3277" s="4"/>
    </row>
    <row r="3278" spans="14:14">
      <c r="N3278" s="4"/>
    </row>
    <row r="3279" spans="14:14">
      <c r="N3279" s="4"/>
    </row>
    <row r="3280" spans="14:14">
      <c r="N3280" s="4"/>
    </row>
    <row r="3281" spans="14:14">
      <c r="N3281" s="4"/>
    </row>
    <row r="3282" spans="14:14">
      <c r="N3282" s="4"/>
    </row>
    <row r="3283" spans="14:14">
      <c r="N3283" s="4"/>
    </row>
    <row r="3284" spans="14:14">
      <c r="N3284" s="4"/>
    </row>
    <row r="3285" spans="14:14">
      <c r="N3285" s="4"/>
    </row>
    <row r="3286" spans="14:14">
      <c r="N3286" s="4"/>
    </row>
    <row r="3287" spans="14:14">
      <c r="N3287" s="4"/>
    </row>
    <row r="3288" spans="14:14">
      <c r="N3288" s="4"/>
    </row>
    <row r="3289" spans="14:14">
      <c r="N3289" s="4"/>
    </row>
    <row r="3290" spans="14:14">
      <c r="N3290" s="4"/>
    </row>
    <row r="3291" spans="14:14">
      <c r="N3291" s="4"/>
    </row>
    <row r="3292" spans="14:14">
      <c r="N3292" s="4"/>
    </row>
    <row r="3293" spans="14:14">
      <c r="N3293" s="4"/>
    </row>
    <row r="3294" spans="14:14">
      <c r="N3294" s="4"/>
    </row>
    <row r="3295" spans="14:14">
      <c r="N3295" s="4"/>
    </row>
    <row r="3296" spans="14:14">
      <c r="N3296" s="4"/>
    </row>
    <row r="3297" spans="14:14">
      <c r="N3297" s="4"/>
    </row>
    <row r="3298" spans="14:14">
      <c r="N3298" s="4"/>
    </row>
    <row r="3299" spans="14:14">
      <c r="N3299" s="4"/>
    </row>
    <row r="3300" spans="14:14">
      <c r="N3300" s="4"/>
    </row>
    <row r="3301" spans="14:14">
      <c r="N3301" s="4"/>
    </row>
    <row r="3302" spans="14:14">
      <c r="N3302" s="4"/>
    </row>
    <row r="3303" spans="14:14">
      <c r="N3303" s="4"/>
    </row>
    <row r="3304" spans="14:14">
      <c r="N3304" s="4"/>
    </row>
    <row r="3305" spans="14:14">
      <c r="N3305" s="4"/>
    </row>
    <row r="3306" spans="14:14">
      <c r="N3306" s="4"/>
    </row>
    <row r="3307" spans="14:14">
      <c r="N3307" s="4"/>
    </row>
    <row r="3308" spans="14:14">
      <c r="N3308" s="4"/>
    </row>
    <row r="3309" spans="14:14">
      <c r="N3309" s="4"/>
    </row>
    <row r="3310" spans="14:14">
      <c r="N3310" s="4"/>
    </row>
    <row r="3311" spans="14:14">
      <c r="N3311" s="4"/>
    </row>
    <row r="3312" spans="14:14">
      <c r="N3312" s="4"/>
    </row>
    <row r="3313" spans="14:14">
      <c r="N3313" s="4"/>
    </row>
    <row r="3314" spans="14:14">
      <c r="N3314" s="4"/>
    </row>
    <row r="3315" spans="14:14">
      <c r="N3315" s="4"/>
    </row>
    <row r="3316" spans="14:14">
      <c r="N3316" s="4"/>
    </row>
    <row r="3317" spans="14:14">
      <c r="N3317" s="4"/>
    </row>
    <row r="3318" spans="14:14">
      <c r="N3318" s="4"/>
    </row>
    <row r="3319" spans="14:14">
      <c r="N3319" s="4"/>
    </row>
    <row r="3320" spans="14:14">
      <c r="N3320" s="4"/>
    </row>
    <row r="3321" spans="14:14">
      <c r="N3321" s="4"/>
    </row>
    <row r="3322" spans="14:14">
      <c r="N3322" s="4"/>
    </row>
    <row r="3323" spans="14:14">
      <c r="N3323" s="4"/>
    </row>
    <row r="3324" spans="14:14">
      <c r="N3324" s="4"/>
    </row>
    <row r="3325" spans="14:14">
      <c r="N3325" s="4"/>
    </row>
    <row r="3326" spans="14:14">
      <c r="N3326" s="4"/>
    </row>
    <row r="3327" spans="14:14">
      <c r="N3327" s="4"/>
    </row>
    <row r="3328" spans="14:14">
      <c r="N3328" s="4"/>
    </row>
    <row r="3329" spans="14:14">
      <c r="N3329" s="4"/>
    </row>
    <row r="3330" spans="14:14">
      <c r="N3330" s="4"/>
    </row>
    <row r="3331" spans="14:14">
      <c r="N3331" s="4"/>
    </row>
    <row r="3332" spans="14:14">
      <c r="N3332" s="4"/>
    </row>
    <row r="3333" spans="14:14">
      <c r="N3333" s="4"/>
    </row>
    <row r="3334" spans="14:14">
      <c r="N3334" s="4"/>
    </row>
    <row r="3335" spans="14:14">
      <c r="N3335" s="4"/>
    </row>
    <row r="3336" spans="14:14">
      <c r="N3336" s="4"/>
    </row>
    <row r="3337" spans="14:14">
      <c r="N3337" s="4"/>
    </row>
    <row r="3338" spans="14:14">
      <c r="N3338" s="4"/>
    </row>
    <row r="3339" spans="14:14">
      <c r="N3339" s="4"/>
    </row>
    <row r="3340" spans="14:14">
      <c r="N3340" s="4"/>
    </row>
    <row r="3341" spans="14:14">
      <c r="N3341" s="4"/>
    </row>
    <row r="3342" spans="14:14">
      <c r="N3342" s="4"/>
    </row>
    <row r="3343" spans="14:14">
      <c r="N3343" s="4"/>
    </row>
    <row r="3344" spans="14:14">
      <c r="N3344" s="4"/>
    </row>
    <row r="3345" spans="14:14">
      <c r="N3345" s="4"/>
    </row>
    <row r="3346" spans="14:14">
      <c r="N3346" s="4"/>
    </row>
    <row r="3347" spans="14:14">
      <c r="N3347" s="4"/>
    </row>
    <row r="3348" spans="14:14">
      <c r="N3348" s="4"/>
    </row>
    <row r="3349" spans="14:14">
      <c r="N3349" s="4"/>
    </row>
    <row r="3350" spans="14:14">
      <c r="N3350" s="4"/>
    </row>
    <row r="3351" spans="14:14">
      <c r="N3351" s="4"/>
    </row>
    <row r="3352" spans="14:14">
      <c r="N3352" s="4"/>
    </row>
  </sheetData>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E1:U109"/>
  <sheetViews>
    <sheetView workbookViewId="0"/>
  </sheetViews>
  <sheetFormatPr baseColWidth="10" defaultRowHeight="15"/>
  <sheetData>
    <row r="1" spans="5:21" ht="15" customHeight="1">
      <c r="E1" s="24" t="s">
        <v>265</v>
      </c>
      <c r="F1" s="24" t="s">
        <v>156</v>
      </c>
      <c r="G1" s="24" t="s">
        <v>5</v>
      </c>
      <c r="H1" s="24" t="s">
        <v>6</v>
      </c>
      <c r="I1" s="24" t="s">
        <v>7</v>
      </c>
      <c r="J1" s="24" t="s">
        <v>2</v>
      </c>
      <c r="L1" s="24" t="s">
        <v>265</v>
      </c>
      <c r="M1" s="24" t="s">
        <v>178</v>
      </c>
      <c r="N1" s="24" t="s">
        <v>179</v>
      </c>
      <c r="O1" s="24" t="s">
        <v>180</v>
      </c>
      <c r="P1" s="24" t="s">
        <v>181</v>
      </c>
      <c r="Q1" s="24" t="s">
        <v>182</v>
      </c>
      <c r="R1" s="24" t="s">
        <v>183</v>
      </c>
      <c r="S1" s="24" t="s">
        <v>184</v>
      </c>
      <c r="T1" s="24" t="s">
        <v>167</v>
      </c>
      <c r="U1" s="24" t="s">
        <v>168</v>
      </c>
    </row>
    <row r="2" spans="5:21">
      <c r="E2" s="421">
        <v>40209</v>
      </c>
      <c r="F2" s="25">
        <v>-3.73E-2</v>
      </c>
      <c r="G2" s="25">
        <v>2.64E-2</v>
      </c>
      <c r="H2" s="25">
        <v>-1E-3</v>
      </c>
      <c r="I2" s="25">
        <v>-2.2499999999999999E-2</v>
      </c>
      <c r="J2" s="25">
        <v>0</v>
      </c>
      <c r="L2" s="421">
        <v>40209</v>
      </c>
      <c r="M2" s="25">
        <v>-2.1800000000000001E-3</v>
      </c>
      <c r="N2" s="25">
        <v>2.8900000000000002E-3</v>
      </c>
      <c r="O2" s="25">
        <v>9.8600000000000007E-3</v>
      </c>
      <c r="P2" s="25">
        <v>1.5100000000000001E-2</v>
      </c>
      <c r="Q2" s="25">
        <v>1.891E-2</v>
      </c>
      <c r="R2" s="25">
        <v>1.3979999999999999E-2</v>
      </c>
      <c r="S2" s="25">
        <v>2.5500000000000002E-3</v>
      </c>
      <c r="T2" s="25">
        <f>S2-J2</f>
        <v>2.5500000000000002E-3</v>
      </c>
      <c r="U2" s="25">
        <f>R2-N2</f>
        <v>1.1089999999999999E-2</v>
      </c>
    </row>
    <row r="3" spans="5:21">
      <c r="E3" s="421">
        <v>40237</v>
      </c>
      <c r="F3" s="25">
        <v>1.2999999999999999E-2</v>
      </c>
      <c r="G3" s="25">
        <v>-2.0000000000000001E-4</v>
      </c>
      <c r="H3" s="25">
        <v>1.4E-3</v>
      </c>
      <c r="I3" s="25">
        <v>1.5100000000000001E-2</v>
      </c>
      <c r="J3" s="25">
        <v>0</v>
      </c>
      <c r="L3" s="421">
        <v>40237</v>
      </c>
      <c r="M3" s="25">
        <v>-2.9099999999999998E-3</v>
      </c>
      <c r="N3" s="25">
        <v>-1.9300000000000001E-3</v>
      </c>
      <c r="O3" s="25">
        <v>-4.3800000000000002E-3</v>
      </c>
      <c r="P3" s="25">
        <v>-2.9399999999999999E-3</v>
      </c>
      <c r="Q3" s="25">
        <v>-1.082E-2</v>
      </c>
      <c r="R3" s="25">
        <v>-2.4499999999999999E-3</v>
      </c>
      <c r="S3" s="25">
        <v>3.9899999999999996E-3</v>
      </c>
      <c r="T3" s="25">
        <f t="shared" ref="T3:T66" si="0">S3-J3</f>
        <v>3.9899999999999996E-3</v>
      </c>
      <c r="U3" s="25">
        <f t="shared" ref="U3:U66" si="1">R3-N3</f>
        <v>-5.1999999999999985E-4</v>
      </c>
    </row>
    <row r="4" spans="5:21">
      <c r="E4" s="421">
        <v>40268</v>
      </c>
      <c r="F4" s="25">
        <v>6.2700000000000006E-2</v>
      </c>
      <c r="G4" s="25">
        <v>-1.8E-3</v>
      </c>
      <c r="H4" s="25">
        <v>0.03</v>
      </c>
      <c r="I4" s="25">
        <v>4.2200000000000001E-2</v>
      </c>
      <c r="J4" s="25">
        <v>1E-4</v>
      </c>
      <c r="L4" s="421">
        <v>40268</v>
      </c>
      <c r="M4" s="25">
        <v>-2.8600000000000001E-3</v>
      </c>
      <c r="N4" s="25">
        <v>-1.5E-3</v>
      </c>
      <c r="O4" s="25">
        <v>4.5900000000000003E-3</v>
      </c>
      <c r="P4" s="25">
        <v>5.13E-3</v>
      </c>
      <c r="Q4" s="25">
        <v>7.1300000000000001E-3</v>
      </c>
      <c r="R4" s="25">
        <v>3.3610000000000001E-2</v>
      </c>
      <c r="S4" s="25">
        <v>-1.668E-2</v>
      </c>
      <c r="T4" s="25">
        <f>S4-J4</f>
        <v>-1.678E-2</v>
      </c>
      <c r="U4" s="25">
        <f t="shared" si="1"/>
        <v>3.5110000000000002E-2</v>
      </c>
    </row>
    <row r="5" spans="5:21">
      <c r="E5" s="421">
        <v>40298</v>
      </c>
      <c r="F5" s="25">
        <v>4.1000000000000003E-3</v>
      </c>
      <c r="G5" s="25">
        <v>3.9E-2</v>
      </c>
      <c r="H5" s="25">
        <v>7.7000000000000002E-3</v>
      </c>
      <c r="I5" s="25">
        <v>1.7899999999999999E-2</v>
      </c>
      <c r="J5" s="25">
        <v>1E-4</v>
      </c>
      <c r="L5" s="421">
        <v>40298</v>
      </c>
      <c r="M5" s="25">
        <v>-4.0499999999999998E-3</v>
      </c>
      <c r="N5" s="25">
        <v>3.6000000000000002E-4</v>
      </c>
      <c r="O5" s="25">
        <v>4.1000000000000003E-3</v>
      </c>
      <c r="P5" s="25">
        <v>1.107E-2</v>
      </c>
      <c r="Q5" s="25">
        <v>2.503E-2</v>
      </c>
      <c r="R5" s="25">
        <v>1.8769999999999998E-2</v>
      </c>
      <c r="S5" s="25">
        <v>-4.6899999999999997E-3</v>
      </c>
      <c r="T5" s="25">
        <f t="shared" si="0"/>
        <v>-4.79E-3</v>
      </c>
      <c r="U5" s="25">
        <f t="shared" si="1"/>
        <v>1.8409999999999999E-2</v>
      </c>
    </row>
    <row r="6" spans="5:21">
      <c r="E6" s="421">
        <v>40329</v>
      </c>
      <c r="F6" s="25">
        <v>-9.5299999999999996E-2</v>
      </c>
      <c r="G6" s="25">
        <v>6.9999999999999999E-4</v>
      </c>
      <c r="H6" s="25">
        <v>-2.4500000000000001E-2</v>
      </c>
      <c r="I6" s="25">
        <v>-7.4999999999999997E-3</v>
      </c>
      <c r="J6" s="25">
        <v>1E-4</v>
      </c>
      <c r="L6" s="421">
        <v>40329</v>
      </c>
      <c r="M6" s="25">
        <v>-3.5700000000000003E-2</v>
      </c>
      <c r="N6" s="25">
        <v>-3.644E-2</v>
      </c>
      <c r="O6" s="25">
        <v>-4.2999999999999997E-2</v>
      </c>
      <c r="P6" s="25">
        <v>-2.5559999999999999E-2</v>
      </c>
      <c r="Q6" s="25">
        <v>-2.375E-2</v>
      </c>
      <c r="R6" s="25">
        <v>-4.9529999999999998E-2</v>
      </c>
      <c r="S6" s="25">
        <v>-1.0240000000000001E-2</v>
      </c>
      <c r="T6" s="25">
        <f t="shared" si="0"/>
        <v>-1.034E-2</v>
      </c>
      <c r="U6" s="25">
        <f t="shared" si="1"/>
        <v>-1.3089999999999997E-2</v>
      </c>
    </row>
    <row r="7" spans="5:21">
      <c r="E7" s="421">
        <v>40359</v>
      </c>
      <c r="F7" s="25">
        <v>-3.15E-2</v>
      </c>
      <c r="G7" s="25">
        <v>3.0000000000000001E-3</v>
      </c>
      <c r="H7" s="25">
        <v>-2.76E-2</v>
      </c>
      <c r="I7" s="25">
        <v>-9.2999999999999992E-3</v>
      </c>
      <c r="J7" s="25">
        <v>1E-4</v>
      </c>
      <c r="L7" s="421">
        <v>40359</v>
      </c>
      <c r="M7" s="25">
        <v>5.8599999999999998E-3</v>
      </c>
      <c r="N7" s="25">
        <v>9.7900000000000001E-3</v>
      </c>
      <c r="O7" s="25">
        <v>1.259E-2</v>
      </c>
      <c r="P7" s="25">
        <v>2.1260000000000001E-2</v>
      </c>
      <c r="Q7" s="25">
        <v>3.5450000000000002E-2</v>
      </c>
      <c r="R7" s="25">
        <v>1.1440000000000001E-2</v>
      </c>
      <c r="S7" s="25">
        <v>1.472E-2</v>
      </c>
      <c r="T7" s="25">
        <f t="shared" si="0"/>
        <v>1.4620000000000001E-2</v>
      </c>
      <c r="U7" s="25">
        <f t="shared" si="1"/>
        <v>1.6500000000000004E-3</v>
      </c>
    </row>
    <row r="8" spans="5:21">
      <c r="E8" s="421">
        <v>40390</v>
      </c>
      <c r="F8" s="25">
        <v>8.2100000000000006E-2</v>
      </c>
      <c r="G8" s="25">
        <v>-1.5100000000000001E-2</v>
      </c>
      <c r="H8" s="25">
        <v>1.4E-2</v>
      </c>
      <c r="I8" s="25">
        <v>3.0000000000000001E-3</v>
      </c>
      <c r="J8" s="25">
        <v>1E-4</v>
      </c>
      <c r="L8" s="421">
        <v>40390</v>
      </c>
      <c r="M8" s="25">
        <v>3.771E-2</v>
      </c>
      <c r="N8" s="25">
        <v>4.2630000000000001E-2</v>
      </c>
      <c r="O8" s="25">
        <v>4.9570000000000003E-2</v>
      </c>
      <c r="P8" s="25">
        <v>4.0509999999999997E-2</v>
      </c>
      <c r="Q8" s="25">
        <v>3.3640000000000003E-2</v>
      </c>
      <c r="R8" s="25">
        <v>4.6379999999999998E-2</v>
      </c>
      <c r="S8" s="25">
        <v>3.3099999999999997E-2</v>
      </c>
      <c r="T8" s="25">
        <f t="shared" si="0"/>
        <v>3.2999999999999995E-2</v>
      </c>
      <c r="U8" s="25">
        <f t="shared" si="1"/>
        <v>3.7499999999999964E-3</v>
      </c>
    </row>
    <row r="9" spans="5:21">
      <c r="E9" s="421">
        <v>40421</v>
      </c>
      <c r="F9" s="25">
        <v>-3.9100000000000003E-2</v>
      </c>
      <c r="G9" s="25">
        <v>-1.5E-3</v>
      </c>
      <c r="H9" s="25">
        <v>-1.9900000000000001E-2</v>
      </c>
      <c r="I9" s="25">
        <v>2.2800000000000001E-2</v>
      </c>
      <c r="J9" s="25">
        <v>1E-4</v>
      </c>
      <c r="L9" s="421">
        <v>40421</v>
      </c>
      <c r="M9" s="25">
        <v>-2.9499999999999999E-3</v>
      </c>
      <c r="N9" s="25">
        <v>3.31E-3</v>
      </c>
      <c r="O9" s="25">
        <v>9.6200000000000001E-3</v>
      </c>
      <c r="P9" s="25">
        <v>2.0039999999999999E-2</v>
      </c>
      <c r="Q9" s="25">
        <v>4.1390000000000003E-2</v>
      </c>
      <c r="R9" s="25">
        <v>-9.2000000000000003E-4</v>
      </c>
      <c r="S9" s="25">
        <v>1.1730000000000001E-2</v>
      </c>
      <c r="T9" s="25">
        <f t="shared" si="0"/>
        <v>1.1630000000000001E-2</v>
      </c>
      <c r="U9" s="25">
        <f t="shared" si="1"/>
        <v>-4.2300000000000003E-3</v>
      </c>
    </row>
    <row r="10" spans="5:21">
      <c r="E10" s="421">
        <v>40451</v>
      </c>
      <c r="F10" s="25">
        <v>9.8500000000000004E-2</v>
      </c>
      <c r="G10" s="25">
        <v>1.5900000000000001E-2</v>
      </c>
      <c r="H10" s="25">
        <v>-1.6299999999999999E-2</v>
      </c>
      <c r="I10" s="25">
        <v>2.12E-2</v>
      </c>
      <c r="J10" s="25">
        <v>1E-4</v>
      </c>
      <c r="L10" s="421">
        <v>40451</v>
      </c>
      <c r="M10" s="25">
        <v>3.5130000000000002E-2</v>
      </c>
      <c r="N10" s="25">
        <v>3.6569999999999998E-2</v>
      </c>
      <c r="O10" s="25">
        <v>3.8850000000000003E-2</v>
      </c>
      <c r="P10" s="25">
        <v>2.4760000000000001E-2</v>
      </c>
      <c r="Q10" s="25">
        <v>7.43E-3</v>
      </c>
      <c r="R10" s="25">
        <v>4.2049999999999997E-2</v>
      </c>
      <c r="S10" s="25">
        <v>2.462E-2</v>
      </c>
      <c r="T10" s="25">
        <f t="shared" si="0"/>
        <v>2.452E-2</v>
      </c>
      <c r="U10" s="25">
        <f t="shared" si="1"/>
        <v>5.4799999999999988E-3</v>
      </c>
    </row>
    <row r="11" spans="5:21">
      <c r="E11" s="421">
        <v>40482</v>
      </c>
      <c r="F11" s="25">
        <v>3.9399999999999998E-2</v>
      </c>
      <c r="G11" s="25">
        <v>-4.0000000000000002E-4</v>
      </c>
      <c r="H11" s="25">
        <v>-1.2E-2</v>
      </c>
      <c r="I11" s="25">
        <v>5.5999999999999999E-3</v>
      </c>
      <c r="J11" s="25">
        <v>1E-4</v>
      </c>
      <c r="L11" s="421">
        <v>40482</v>
      </c>
      <c r="M11" s="25">
        <v>1.511E-2</v>
      </c>
      <c r="N11" s="25">
        <v>1.583E-2</v>
      </c>
      <c r="O11" s="25">
        <v>1.6129999999999999E-2</v>
      </c>
      <c r="P11" s="25">
        <v>1.146E-2</v>
      </c>
      <c r="Q11" s="25">
        <v>-8.8900000000000003E-3</v>
      </c>
      <c r="R11" s="25">
        <v>2.6599999999999999E-2</v>
      </c>
      <c r="S11" s="25">
        <v>1.7260000000000001E-2</v>
      </c>
      <c r="T11" s="25">
        <f t="shared" si="0"/>
        <v>1.7160000000000002E-2</v>
      </c>
      <c r="U11" s="25">
        <f t="shared" si="1"/>
        <v>1.0769999999999998E-2</v>
      </c>
    </row>
    <row r="12" spans="5:21">
      <c r="E12" s="421">
        <v>40512</v>
      </c>
      <c r="F12" s="25">
        <v>-2.1700000000000001E-2</v>
      </c>
      <c r="G12" s="25">
        <v>2.1000000000000001E-2</v>
      </c>
      <c r="H12" s="25">
        <v>-6.7000000000000002E-3</v>
      </c>
      <c r="I12" s="25">
        <v>4.36E-2</v>
      </c>
      <c r="J12" s="25">
        <v>1E-4</v>
      </c>
      <c r="L12" s="421">
        <v>40512</v>
      </c>
      <c r="M12" s="25">
        <v>-3.1960000000000002E-2</v>
      </c>
      <c r="N12" s="25">
        <v>-3.8809999999999997E-2</v>
      </c>
      <c r="O12" s="25">
        <v>-4.2950000000000002E-2</v>
      </c>
      <c r="P12" s="25">
        <v>-3.5150000000000001E-2</v>
      </c>
      <c r="Q12" s="25">
        <v>-2.5329999999999998E-2</v>
      </c>
      <c r="R12" s="25">
        <v>-2.725E-2</v>
      </c>
      <c r="S12" s="25">
        <v>-4.079E-2</v>
      </c>
      <c r="T12" s="25">
        <f t="shared" si="0"/>
        <v>-4.0890000000000003E-2</v>
      </c>
      <c r="U12" s="25">
        <f t="shared" si="1"/>
        <v>1.1559999999999997E-2</v>
      </c>
    </row>
    <row r="13" spans="5:21">
      <c r="E13" s="421">
        <v>40543</v>
      </c>
      <c r="F13" s="25">
        <v>7.6200000000000004E-2</v>
      </c>
      <c r="G13" s="25">
        <v>1.9699999999999999E-2</v>
      </c>
      <c r="H13" s="25">
        <v>1.9199999999999998E-2</v>
      </c>
      <c r="I13" s="25">
        <v>-4.8999999999999998E-3</v>
      </c>
      <c r="J13" s="25">
        <v>1E-4</v>
      </c>
      <c r="L13" s="421">
        <v>40543</v>
      </c>
      <c r="M13" s="25">
        <v>1.8960000000000001E-2</v>
      </c>
      <c r="N13" s="25">
        <v>1.303E-2</v>
      </c>
      <c r="O13" s="25">
        <v>8.5500000000000003E-3</v>
      </c>
      <c r="P13" s="25">
        <v>-2.4499999999999999E-3</v>
      </c>
      <c r="Q13" s="25">
        <v>-3.6000000000000002E-4</v>
      </c>
      <c r="R13" s="25">
        <v>2.2409999999999999E-2</v>
      </c>
      <c r="S13" s="25">
        <v>1.5480000000000001E-2</v>
      </c>
      <c r="T13" s="25">
        <f t="shared" si="0"/>
        <v>1.5380000000000001E-2</v>
      </c>
      <c r="U13" s="25">
        <f t="shared" si="1"/>
        <v>9.3799999999999994E-3</v>
      </c>
    </row>
    <row r="14" spans="5:21">
      <c r="E14" s="421">
        <v>40574</v>
      </c>
      <c r="F14" s="25">
        <v>2.1100000000000001E-2</v>
      </c>
      <c r="G14" s="25">
        <v>-1.5900000000000001E-2</v>
      </c>
      <c r="H14" s="25">
        <v>2.7199999999999998E-2</v>
      </c>
      <c r="I14" s="25">
        <v>-1.7000000000000001E-2</v>
      </c>
      <c r="J14" s="25">
        <v>1E-4</v>
      </c>
      <c r="L14" s="421">
        <v>40574</v>
      </c>
      <c r="M14" s="25">
        <v>8.0999999999999996E-3</v>
      </c>
      <c r="N14" s="25">
        <v>9.2499999999999995E-3</v>
      </c>
      <c r="O14" s="25">
        <v>1.176E-2</v>
      </c>
      <c r="P14" s="25">
        <v>6.6100000000000004E-3</v>
      </c>
      <c r="Q14" s="25">
        <v>-4.0899999999999999E-3</v>
      </c>
      <c r="R14" s="25">
        <v>2.5479999999999999E-2</v>
      </c>
      <c r="S14" s="25">
        <v>2.6099999999999999E-3</v>
      </c>
      <c r="T14" s="25">
        <f t="shared" si="0"/>
        <v>2.5100000000000001E-3</v>
      </c>
      <c r="U14" s="25">
        <f t="shared" si="1"/>
        <v>1.6230000000000001E-2</v>
      </c>
    </row>
    <row r="15" spans="5:21">
      <c r="E15" s="421">
        <v>40602</v>
      </c>
      <c r="F15" s="25">
        <v>3.4799999999999998E-2</v>
      </c>
      <c r="G15" s="25">
        <v>1.9E-3</v>
      </c>
      <c r="H15" s="25">
        <v>4.5999999999999999E-3</v>
      </c>
      <c r="I15" s="25">
        <v>1.24E-2</v>
      </c>
      <c r="J15" s="25">
        <v>1E-4</v>
      </c>
      <c r="L15" s="421">
        <v>40602</v>
      </c>
      <c r="M15" s="25">
        <v>7.5599999999999999E-3</v>
      </c>
      <c r="N15" s="25">
        <v>8.8599999999999998E-3</v>
      </c>
      <c r="O15" s="25">
        <v>1.17E-2</v>
      </c>
      <c r="P15" s="25">
        <v>1.137E-2</v>
      </c>
      <c r="Q15" s="25">
        <v>1.9879999999999998E-2</v>
      </c>
      <c r="R15" s="25">
        <v>1.576E-2</v>
      </c>
      <c r="S15" s="25">
        <v>2.4299999999999999E-3</v>
      </c>
      <c r="T15" s="25">
        <f t="shared" si="0"/>
        <v>2.33E-3</v>
      </c>
      <c r="U15" s="25">
        <f t="shared" si="1"/>
        <v>6.8999999999999999E-3</v>
      </c>
    </row>
    <row r="16" spans="5:21">
      <c r="E16" s="421">
        <v>40633</v>
      </c>
      <c r="F16" s="25">
        <v>-6.8999999999999999E-3</v>
      </c>
      <c r="G16" s="25">
        <v>1.4500000000000001E-2</v>
      </c>
      <c r="H16" s="25">
        <v>-1.66E-2</v>
      </c>
      <c r="I16" s="25">
        <v>1.3599999999999999E-2</v>
      </c>
      <c r="J16" s="25">
        <v>1E-4</v>
      </c>
      <c r="L16" s="421">
        <v>40633</v>
      </c>
      <c r="M16" s="25">
        <v>1.06E-2</v>
      </c>
      <c r="N16" s="25">
        <v>9.0100000000000006E-3</v>
      </c>
      <c r="O16" s="25">
        <v>6.8599999999999998E-3</v>
      </c>
      <c r="P16" s="25">
        <v>3.0999999999999999E-3</v>
      </c>
      <c r="Q16" s="25">
        <v>-3.3500000000000001E-3</v>
      </c>
      <c r="R16" s="25">
        <v>6.7600000000000004E-3</v>
      </c>
      <c r="S16" s="25">
        <v>3.7499999999999999E-3</v>
      </c>
      <c r="T16" s="25">
        <f t="shared" si="0"/>
        <v>3.65E-3</v>
      </c>
      <c r="U16" s="25">
        <f t="shared" si="1"/>
        <v>-2.2500000000000003E-3</v>
      </c>
    </row>
    <row r="17" spans="5:21">
      <c r="E17" s="421">
        <v>40663</v>
      </c>
      <c r="F17" s="25">
        <v>4.4600000000000001E-2</v>
      </c>
      <c r="G17" s="25">
        <v>-6.4000000000000003E-3</v>
      </c>
      <c r="H17" s="25">
        <v>-1.83E-2</v>
      </c>
      <c r="I17" s="25">
        <v>1.41E-2</v>
      </c>
      <c r="J17" s="25">
        <v>0</v>
      </c>
      <c r="L17" s="421">
        <v>40663</v>
      </c>
      <c r="M17" s="25">
        <v>2.9579999999999999E-2</v>
      </c>
      <c r="N17" s="25">
        <v>3.2469999999999999E-2</v>
      </c>
      <c r="O17" s="25">
        <v>3.7699999999999997E-2</v>
      </c>
      <c r="P17" s="25">
        <v>3.2140000000000002E-2</v>
      </c>
      <c r="Q17" s="25">
        <v>3.6769999999999997E-2</v>
      </c>
      <c r="R17" s="25">
        <v>2.3460000000000002E-2</v>
      </c>
      <c r="S17" s="25">
        <v>2.8369999999999999E-2</v>
      </c>
      <c r="T17" s="25">
        <f t="shared" si="0"/>
        <v>2.8369999999999999E-2</v>
      </c>
      <c r="U17" s="25">
        <f t="shared" si="1"/>
        <v>-9.0099999999999972E-3</v>
      </c>
    </row>
    <row r="18" spans="5:21">
      <c r="E18" s="421">
        <v>40694</v>
      </c>
      <c r="F18" s="25">
        <v>-2.1000000000000001E-2</v>
      </c>
      <c r="G18" s="25">
        <v>-5.1999999999999998E-3</v>
      </c>
      <c r="H18" s="25">
        <v>-1.34E-2</v>
      </c>
      <c r="I18" s="25">
        <v>3.8E-3</v>
      </c>
      <c r="J18" s="25">
        <v>0</v>
      </c>
      <c r="L18" s="421">
        <v>40694</v>
      </c>
      <c r="M18" s="25">
        <v>-1.0359999999999999E-2</v>
      </c>
      <c r="N18" s="25">
        <v>-3.8400000000000001E-3</v>
      </c>
      <c r="O18" s="25">
        <v>-1.01E-3</v>
      </c>
      <c r="P18" s="25">
        <v>5.4599999999999996E-3</v>
      </c>
      <c r="Q18" s="25">
        <v>1.4080000000000001E-2</v>
      </c>
      <c r="R18" s="25">
        <v>-5.1000000000000004E-4</v>
      </c>
      <c r="S18" s="25">
        <v>-2.1800000000000001E-3</v>
      </c>
      <c r="T18" s="25">
        <f t="shared" si="0"/>
        <v>-2.1800000000000001E-3</v>
      </c>
      <c r="U18" s="25">
        <f t="shared" si="1"/>
        <v>3.3300000000000001E-3</v>
      </c>
    </row>
    <row r="19" spans="5:21">
      <c r="E19" s="421">
        <v>40724</v>
      </c>
      <c r="F19" s="25">
        <v>-1.52E-2</v>
      </c>
      <c r="G19" s="25">
        <v>-4.5999999999999999E-3</v>
      </c>
      <c r="H19" s="25">
        <v>5.7999999999999996E-3</v>
      </c>
      <c r="I19" s="25">
        <v>1.44E-2</v>
      </c>
      <c r="J19" s="25">
        <v>0</v>
      </c>
      <c r="L19" s="421">
        <v>40724</v>
      </c>
      <c r="M19" s="25">
        <v>3.7000000000000002E-3</v>
      </c>
      <c r="N19" s="25">
        <v>8.0000000000000004E-4</v>
      </c>
      <c r="O19" s="25">
        <v>-4.3800000000000002E-3</v>
      </c>
      <c r="P19" s="25">
        <v>-7.8399999999999997E-3</v>
      </c>
      <c r="Q19" s="25">
        <v>-2.23E-2</v>
      </c>
      <c r="R19" s="25">
        <v>-1.0240000000000001E-2</v>
      </c>
      <c r="S19" s="25">
        <v>3.63E-3</v>
      </c>
      <c r="T19" s="25">
        <f t="shared" si="0"/>
        <v>3.63E-3</v>
      </c>
      <c r="U19" s="25">
        <f t="shared" si="1"/>
        <v>-1.1040000000000001E-2</v>
      </c>
    </row>
    <row r="20" spans="5:21">
      <c r="E20" s="421">
        <v>40755</v>
      </c>
      <c r="F20" s="25">
        <v>-1.7000000000000001E-2</v>
      </c>
      <c r="G20" s="25">
        <v>1.18E-2</v>
      </c>
      <c r="H20" s="25">
        <v>-2.1700000000000001E-2</v>
      </c>
      <c r="I20" s="25">
        <v>1.95E-2</v>
      </c>
      <c r="J20" s="25">
        <v>0</v>
      </c>
      <c r="L20" s="421">
        <v>40755</v>
      </c>
      <c r="M20" s="25">
        <v>6.2599999999999999E-3</v>
      </c>
      <c r="N20" s="25">
        <v>1.4460000000000001E-2</v>
      </c>
      <c r="O20" s="25">
        <v>1.8859999999999998E-2</v>
      </c>
      <c r="P20" s="25">
        <v>2.6939999999999999E-2</v>
      </c>
      <c r="Q20" s="25">
        <v>4.3659999999999997E-2</v>
      </c>
      <c r="R20" s="25">
        <v>8.6899999999999998E-3</v>
      </c>
      <c r="S20" s="25">
        <v>2.0310000000000002E-2</v>
      </c>
      <c r="T20" s="25">
        <f t="shared" si="0"/>
        <v>2.0310000000000002E-2</v>
      </c>
      <c r="U20" s="25">
        <f t="shared" si="1"/>
        <v>-5.7700000000000008E-3</v>
      </c>
    </row>
    <row r="21" spans="5:21">
      <c r="E21" s="421">
        <v>40786</v>
      </c>
      <c r="F21" s="25">
        <v>-7.51E-2</v>
      </c>
      <c r="G21" s="25">
        <v>-6.6E-3</v>
      </c>
      <c r="H21" s="25">
        <v>-1.78E-2</v>
      </c>
      <c r="I21" s="25">
        <v>-9.1999999999999998E-3</v>
      </c>
      <c r="J21" s="25">
        <v>1E-4</v>
      </c>
      <c r="L21" s="421">
        <v>40786</v>
      </c>
      <c r="M21" s="25">
        <v>-3.0899999999999999E-3</v>
      </c>
      <c r="N21" s="25">
        <v>-7.0099999999999997E-3</v>
      </c>
      <c r="O21" s="25">
        <v>-1.128E-2</v>
      </c>
      <c r="P21" s="25">
        <v>-3.82E-3</v>
      </c>
      <c r="Q21" s="25">
        <v>1.25E-3</v>
      </c>
      <c r="R21" s="25">
        <v>-4.4139999999999999E-2</v>
      </c>
      <c r="S21" s="25">
        <v>1.7170000000000001E-2</v>
      </c>
      <c r="T21" s="25">
        <f t="shared" si="0"/>
        <v>1.7070000000000002E-2</v>
      </c>
      <c r="U21" s="25">
        <f t="shared" si="1"/>
        <v>-3.7129999999999996E-2</v>
      </c>
    </row>
    <row r="22" spans="5:21">
      <c r="E22" s="421">
        <v>40816</v>
      </c>
      <c r="F22" s="25">
        <v>-9.1899999999999996E-2</v>
      </c>
      <c r="G22" s="25">
        <v>-1.34E-2</v>
      </c>
      <c r="H22" s="25">
        <v>8.6E-3</v>
      </c>
      <c r="I22" s="25">
        <v>-2.7199999999999998E-2</v>
      </c>
      <c r="J22" s="25">
        <v>0</v>
      </c>
      <c r="L22" s="421">
        <v>40816</v>
      </c>
      <c r="M22" s="25">
        <v>-3.959E-2</v>
      </c>
      <c r="N22" s="25">
        <v>-4.1270000000000001E-2</v>
      </c>
      <c r="O22" s="25">
        <v>-4.48E-2</v>
      </c>
      <c r="P22" s="25">
        <v>-3.0970000000000001E-2</v>
      </c>
      <c r="Q22" s="25">
        <v>8.0800000000000004E-3</v>
      </c>
      <c r="R22" s="25">
        <v>-4.8189999999999997E-2</v>
      </c>
      <c r="S22" s="25">
        <v>-2.452E-2</v>
      </c>
      <c r="T22" s="25">
        <f t="shared" si="0"/>
        <v>-2.452E-2</v>
      </c>
      <c r="U22" s="25">
        <f t="shared" si="1"/>
        <v>-6.9199999999999956E-3</v>
      </c>
    </row>
    <row r="23" spans="5:21">
      <c r="E23" s="421">
        <v>40847</v>
      </c>
      <c r="F23" s="25">
        <v>0.1002</v>
      </c>
      <c r="G23" s="25">
        <v>-1.9699999999999999E-2</v>
      </c>
      <c r="H23" s="25">
        <v>-1.9199999999999998E-2</v>
      </c>
      <c r="I23" s="25">
        <v>-1.2800000000000001E-2</v>
      </c>
      <c r="J23" s="25">
        <v>0</v>
      </c>
      <c r="L23" s="421">
        <v>40847</v>
      </c>
      <c r="M23" s="25">
        <v>2.734E-2</v>
      </c>
      <c r="N23" s="25">
        <v>3.1300000000000001E-2</v>
      </c>
      <c r="O23" s="25">
        <v>3.7339999999999998E-2</v>
      </c>
      <c r="P23" s="25">
        <v>3.1890000000000002E-2</v>
      </c>
      <c r="Q23" s="25">
        <v>3.3439999999999998E-2</v>
      </c>
      <c r="R23" s="25">
        <v>6.7750000000000005E-2</v>
      </c>
      <c r="S23" s="25">
        <v>7.4700000000000001E-3</v>
      </c>
      <c r="T23" s="25">
        <f t="shared" si="0"/>
        <v>7.4700000000000001E-3</v>
      </c>
      <c r="U23" s="25">
        <f t="shared" si="1"/>
        <v>3.6450000000000003E-2</v>
      </c>
    </row>
    <row r="24" spans="5:21">
      <c r="E24" s="421">
        <v>40877</v>
      </c>
      <c r="F24" s="25">
        <v>-2.63E-2</v>
      </c>
      <c r="G24" s="25">
        <v>-1.12E-2</v>
      </c>
      <c r="H24" s="25">
        <v>-7.1999999999999998E-3</v>
      </c>
      <c r="I24" s="25">
        <v>4.3499999999999997E-2</v>
      </c>
      <c r="J24" s="25">
        <v>0</v>
      </c>
      <c r="L24" s="421">
        <v>40877</v>
      </c>
      <c r="M24" s="25">
        <v>-2.3029999999999998E-2</v>
      </c>
      <c r="N24" s="25">
        <v>-2.8039999999999999E-2</v>
      </c>
      <c r="O24" s="25">
        <v>-3.6790000000000003E-2</v>
      </c>
      <c r="P24" s="25">
        <v>-3.6990000000000002E-2</v>
      </c>
      <c r="Q24" s="25">
        <v>-3.5290000000000002E-2</v>
      </c>
      <c r="R24" s="25">
        <v>-3.2599999999999997E-2</v>
      </c>
      <c r="S24" s="25">
        <v>-1.3520000000000001E-2</v>
      </c>
      <c r="T24" s="25">
        <f t="shared" si="0"/>
        <v>-1.3520000000000001E-2</v>
      </c>
      <c r="U24" s="25">
        <f t="shared" si="1"/>
        <v>-4.5599999999999981E-3</v>
      </c>
    </row>
    <row r="25" spans="5:21">
      <c r="E25" s="421">
        <v>40908</v>
      </c>
      <c r="F25" s="25">
        <v>-4.4999999999999997E-3</v>
      </c>
      <c r="G25" s="25">
        <v>-4.8999999999999998E-3</v>
      </c>
      <c r="H25" s="25">
        <v>1.9400000000000001E-2</v>
      </c>
      <c r="I25" s="25">
        <v>2.01E-2</v>
      </c>
      <c r="J25" s="25">
        <v>0</v>
      </c>
      <c r="L25" s="421">
        <v>40908</v>
      </c>
      <c r="M25" s="25">
        <v>-8.3800000000000003E-3</v>
      </c>
      <c r="N25" s="25">
        <v>8.1999999999999998E-4</v>
      </c>
      <c r="O25" s="25">
        <v>8.3300000000000006E-3</v>
      </c>
      <c r="P25" s="25">
        <v>1.8790000000000001E-2</v>
      </c>
      <c r="Q25" s="25">
        <v>3.2629999999999999E-2</v>
      </c>
      <c r="R25" s="25">
        <v>1.9740000000000001E-2</v>
      </c>
      <c r="S25" s="25">
        <v>4.5199999999999997E-3</v>
      </c>
      <c r="T25" s="25">
        <f t="shared" si="0"/>
        <v>4.5199999999999997E-3</v>
      </c>
      <c r="U25" s="25">
        <f t="shared" si="1"/>
        <v>1.8919999999999999E-2</v>
      </c>
    </row>
    <row r="26" spans="5:21">
      <c r="E26" s="421">
        <v>40939</v>
      </c>
      <c r="F26" s="25">
        <v>5.6000000000000001E-2</v>
      </c>
      <c r="G26" s="25">
        <v>2.1299999999999999E-2</v>
      </c>
      <c r="H26" s="25">
        <v>-1.09E-2</v>
      </c>
      <c r="I26" s="25">
        <v>-6.7799999999999999E-2</v>
      </c>
      <c r="J26" s="25">
        <v>0</v>
      </c>
      <c r="L26" s="421">
        <v>40939</v>
      </c>
      <c r="M26" s="25">
        <v>1.8069999999999999E-2</v>
      </c>
      <c r="N26" s="25">
        <v>2.58E-2</v>
      </c>
      <c r="O26" s="25">
        <v>3.397E-2</v>
      </c>
      <c r="P26" s="25">
        <v>3.1269999999999999E-2</v>
      </c>
      <c r="Q26" s="25">
        <v>2.6839999999999999E-2</v>
      </c>
      <c r="R26" s="25">
        <v>3.8719999999999997E-2</v>
      </c>
      <c r="S26" s="25">
        <v>1.4250000000000001E-2</v>
      </c>
      <c r="T26" s="25">
        <f t="shared" si="0"/>
        <v>1.4250000000000001E-2</v>
      </c>
      <c r="U26" s="25">
        <f t="shared" si="1"/>
        <v>1.2919999999999997E-2</v>
      </c>
    </row>
    <row r="27" spans="5:21">
      <c r="E27" s="421">
        <v>40968</v>
      </c>
      <c r="F27" s="25">
        <v>4.9299999999999997E-2</v>
      </c>
      <c r="G27" s="25">
        <v>-8.5000000000000006E-3</v>
      </c>
      <c r="H27" s="25">
        <v>-2.0999999999999999E-3</v>
      </c>
      <c r="I27" s="25">
        <v>-2.5899999999999999E-2</v>
      </c>
      <c r="J27" s="25">
        <v>0</v>
      </c>
      <c r="L27" s="421">
        <v>40968</v>
      </c>
      <c r="M27" s="25">
        <v>1.1339999999999999E-2</v>
      </c>
      <c r="N27" s="25">
        <v>1.5469999999999999E-2</v>
      </c>
      <c r="O27" s="25">
        <v>1.966E-2</v>
      </c>
      <c r="P27" s="25">
        <v>1.8350000000000002E-2</v>
      </c>
      <c r="Q27" s="25">
        <v>1.3979999999999999E-2</v>
      </c>
      <c r="R27" s="25">
        <v>3.2800000000000003E-2</v>
      </c>
      <c r="S27" s="25">
        <v>-8.7100000000000007E-3</v>
      </c>
      <c r="T27" s="25">
        <f t="shared" si="0"/>
        <v>-8.7100000000000007E-3</v>
      </c>
      <c r="U27" s="25">
        <f t="shared" si="1"/>
        <v>1.7330000000000005E-2</v>
      </c>
    </row>
    <row r="28" spans="5:21">
      <c r="E28" s="421">
        <v>40999</v>
      </c>
      <c r="F28" s="25">
        <v>1.23E-2</v>
      </c>
      <c r="G28" s="25">
        <v>-3.7000000000000002E-3</v>
      </c>
      <c r="H28" s="25">
        <v>-2.9999999999999997E-4</v>
      </c>
      <c r="I28" s="25">
        <v>3.5200000000000002E-2</v>
      </c>
      <c r="J28" s="25">
        <v>0</v>
      </c>
      <c r="L28" s="421">
        <v>40999</v>
      </c>
      <c r="M28" s="25">
        <v>-6.4000000000000005E-4</v>
      </c>
      <c r="N28" s="25">
        <v>7.5000000000000002E-4</v>
      </c>
      <c r="O28" s="25">
        <v>3.2499999999999999E-3</v>
      </c>
      <c r="P28" s="25">
        <v>-2.3600000000000001E-3</v>
      </c>
      <c r="Q28" s="25">
        <v>-1.8610000000000002E-2</v>
      </c>
      <c r="R28" s="25">
        <v>1.1999999999999999E-3</v>
      </c>
      <c r="S28" s="25">
        <v>-8.9300000000000004E-3</v>
      </c>
      <c r="T28" s="25">
        <f t="shared" si="0"/>
        <v>-8.9300000000000004E-3</v>
      </c>
      <c r="U28" s="25">
        <f t="shared" si="1"/>
        <v>4.4999999999999988E-4</v>
      </c>
    </row>
    <row r="29" spans="5:21">
      <c r="E29" s="421">
        <v>41029</v>
      </c>
      <c r="F29" s="25">
        <v>-1.11E-2</v>
      </c>
      <c r="G29" s="25">
        <v>2.3E-3</v>
      </c>
      <c r="H29" s="25">
        <v>-1.7500000000000002E-2</v>
      </c>
      <c r="I29" s="25">
        <v>4.8300000000000003E-2</v>
      </c>
      <c r="J29" s="25">
        <v>0</v>
      </c>
      <c r="L29" s="421">
        <v>41029</v>
      </c>
      <c r="M29" s="25">
        <v>2.6199999999999999E-3</v>
      </c>
      <c r="N29" s="25">
        <v>5.4400000000000004E-3</v>
      </c>
      <c r="O29" s="25">
        <v>7.6400000000000001E-3</v>
      </c>
      <c r="P29" s="25">
        <v>1.294E-2</v>
      </c>
      <c r="Q29" s="25">
        <v>2.0029999999999999E-2</v>
      </c>
      <c r="R29" s="25">
        <v>6.7799999999999996E-3</v>
      </c>
      <c r="S29" s="25">
        <v>1.323E-2</v>
      </c>
      <c r="T29" s="25">
        <f t="shared" si="0"/>
        <v>1.323E-2</v>
      </c>
      <c r="U29" s="25">
        <f t="shared" si="1"/>
        <v>1.3399999999999992E-3</v>
      </c>
    </row>
    <row r="30" spans="5:21">
      <c r="E30" s="421">
        <v>41060</v>
      </c>
      <c r="F30" s="25">
        <v>-8.8900000000000007E-2</v>
      </c>
      <c r="G30" s="25">
        <v>-5.4000000000000003E-3</v>
      </c>
      <c r="H30" s="25">
        <v>1.8E-3</v>
      </c>
      <c r="I30" s="25">
        <v>6.2600000000000003E-2</v>
      </c>
      <c r="J30" s="25">
        <v>1E-4</v>
      </c>
      <c r="L30" s="421">
        <v>41060</v>
      </c>
      <c r="M30" s="25">
        <v>-2.9839999999999998E-2</v>
      </c>
      <c r="N30" s="25">
        <v>-2.7050000000000001E-2</v>
      </c>
      <c r="O30" s="25">
        <v>-2.2620000000000001E-2</v>
      </c>
      <c r="P30" s="25">
        <v>-1.259E-2</v>
      </c>
      <c r="Q30" s="25">
        <v>8.43E-3</v>
      </c>
      <c r="R30" s="25">
        <v>-2.6710000000000001E-2</v>
      </c>
      <c r="S30" s="25">
        <v>-1.1010000000000001E-2</v>
      </c>
      <c r="T30" s="25">
        <f t="shared" si="0"/>
        <v>-1.111E-2</v>
      </c>
      <c r="U30" s="25">
        <f t="shared" si="1"/>
        <v>3.4000000000000002E-4</v>
      </c>
    </row>
    <row r="31" spans="5:21">
      <c r="E31" s="421">
        <v>41090</v>
      </c>
      <c r="F31" s="25">
        <v>4.8500000000000001E-2</v>
      </c>
      <c r="G31" s="25">
        <v>-1.5900000000000001E-2</v>
      </c>
      <c r="H31" s="25">
        <v>1.5299999999999999E-2</v>
      </c>
      <c r="I31" s="25">
        <v>-9.7999999999999997E-3</v>
      </c>
      <c r="J31" s="25">
        <v>0</v>
      </c>
      <c r="L31" s="421">
        <v>41090</v>
      </c>
      <c r="M31" s="25">
        <v>1.346E-2</v>
      </c>
      <c r="N31" s="25">
        <v>1.3769999999999999E-2</v>
      </c>
      <c r="O31" s="25">
        <v>1.158E-2</v>
      </c>
      <c r="P31" s="25">
        <v>9.7900000000000001E-3</v>
      </c>
      <c r="Q31" s="25">
        <v>6.0000000000000001E-3</v>
      </c>
      <c r="R31" s="25">
        <v>2.478E-2</v>
      </c>
      <c r="S31" s="25">
        <v>3.3E-3</v>
      </c>
      <c r="T31" s="25">
        <f t="shared" si="0"/>
        <v>3.3E-3</v>
      </c>
      <c r="U31" s="25">
        <f t="shared" si="1"/>
        <v>1.1010000000000001E-2</v>
      </c>
    </row>
    <row r="32" spans="5:21">
      <c r="E32" s="421">
        <v>41121</v>
      </c>
      <c r="F32" s="25">
        <v>8.5000000000000006E-3</v>
      </c>
      <c r="G32" s="25">
        <v>-1.6400000000000001E-2</v>
      </c>
      <c r="H32" s="25">
        <v>-1.0500000000000001E-2</v>
      </c>
      <c r="I32" s="25">
        <v>3.6900000000000002E-2</v>
      </c>
      <c r="J32" s="25">
        <v>0</v>
      </c>
      <c r="L32" s="421">
        <v>41121</v>
      </c>
      <c r="M32" s="25">
        <v>0</v>
      </c>
      <c r="N32" s="25">
        <v>9.3200000000000002E-3</v>
      </c>
      <c r="O32" s="25">
        <v>1.687E-2</v>
      </c>
      <c r="P32" s="25">
        <v>2.4979999999999999E-2</v>
      </c>
      <c r="Q32" s="25">
        <v>5.314E-2</v>
      </c>
      <c r="R32" s="25">
        <v>1.6320000000000001E-2</v>
      </c>
      <c r="S32" s="25">
        <v>6.45E-3</v>
      </c>
      <c r="T32" s="25">
        <f t="shared" si="0"/>
        <v>6.45E-3</v>
      </c>
      <c r="U32" s="25">
        <f t="shared" si="1"/>
        <v>7.000000000000001E-3</v>
      </c>
    </row>
    <row r="33" spans="5:21">
      <c r="E33" s="421">
        <v>41152</v>
      </c>
      <c r="F33" s="25">
        <v>2.7900000000000001E-2</v>
      </c>
      <c r="G33" s="25">
        <v>-2.0999999999999999E-3</v>
      </c>
      <c r="H33" s="25">
        <v>7.4000000000000003E-3</v>
      </c>
      <c r="I33" s="25">
        <v>-1.7399999999999999E-2</v>
      </c>
      <c r="J33" s="25">
        <v>1E-4</v>
      </c>
      <c r="L33" s="421">
        <v>41152</v>
      </c>
      <c r="M33" s="25">
        <v>1.328E-2</v>
      </c>
      <c r="N33" s="25">
        <v>1.6910000000000001E-2</v>
      </c>
      <c r="O33" s="25">
        <v>1.711E-2</v>
      </c>
      <c r="P33" s="25">
        <v>1.4080000000000001E-2</v>
      </c>
      <c r="Q33" s="25">
        <v>5.1599999999999997E-3</v>
      </c>
      <c r="R33" s="25">
        <v>1.9689999999999999E-2</v>
      </c>
      <c r="S33" s="25">
        <v>7.6899999999999998E-3</v>
      </c>
      <c r="T33" s="25">
        <f t="shared" si="0"/>
        <v>7.5899999999999995E-3</v>
      </c>
      <c r="U33" s="25">
        <f t="shared" si="1"/>
        <v>2.7799999999999978E-3</v>
      </c>
    </row>
    <row r="34" spans="5:21">
      <c r="E34" s="421">
        <v>41182</v>
      </c>
      <c r="F34" s="25">
        <v>3.0800000000000001E-2</v>
      </c>
      <c r="G34" s="25">
        <v>1.11E-2</v>
      </c>
      <c r="H34" s="25">
        <v>1.26E-2</v>
      </c>
      <c r="I34" s="25">
        <v>-1.34E-2</v>
      </c>
      <c r="J34" s="25">
        <v>1E-4</v>
      </c>
      <c r="L34" s="421">
        <v>41182</v>
      </c>
      <c r="M34" s="25">
        <v>1.3440000000000001E-2</v>
      </c>
      <c r="N34" s="25">
        <v>1.619E-2</v>
      </c>
      <c r="O34" s="25">
        <v>1.7690000000000001E-2</v>
      </c>
      <c r="P34" s="25">
        <v>1.7500000000000002E-2</v>
      </c>
      <c r="Q34" s="25">
        <v>7.4999999999999997E-3</v>
      </c>
      <c r="R34" s="25">
        <v>2.0719999999999999E-2</v>
      </c>
      <c r="S34" s="25">
        <v>1.15E-2</v>
      </c>
      <c r="T34" s="25">
        <f t="shared" si="0"/>
        <v>1.14E-2</v>
      </c>
      <c r="U34" s="25">
        <f t="shared" si="1"/>
        <v>4.5299999999999993E-3</v>
      </c>
    </row>
    <row r="35" spans="5:21">
      <c r="E35" s="421">
        <v>41213</v>
      </c>
      <c r="F35" s="25">
        <v>-4.3E-3</v>
      </c>
      <c r="G35" s="25">
        <v>-7.0000000000000001E-3</v>
      </c>
      <c r="H35" s="25">
        <v>2.18E-2</v>
      </c>
      <c r="I35" s="25">
        <v>8.0000000000000004E-4</v>
      </c>
      <c r="J35" s="25">
        <v>1E-4</v>
      </c>
      <c r="L35" s="421">
        <v>41213</v>
      </c>
      <c r="M35" s="25">
        <v>3.2599999999999999E-3</v>
      </c>
      <c r="N35" s="25">
        <v>7.0600000000000003E-3</v>
      </c>
      <c r="O35" s="25">
        <v>1.09E-2</v>
      </c>
      <c r="P35" s="25">
        <v>1.43E-2</v>
      </c>
      <c r="Q35" s="25">
        <v>2.06E-2</v>
      </c>
      <c r="R35" s="25">
        <v>1.306E-2</v>
      </c>
      <c r="S35" s="25">
        <v>-5.5199999999999997E-3</v>
      </c>
      <c r="T35" s="25">
        <f t="shared" si="0"/>
        <v>-5.62E-3</v>
      </c>
      <c r="U35" s="25">
        <f t="shared" si="1"/>
        <v>6.0000000000000001E-3</v>
      </c>
    </row>
    <row r="36" spans="5:21">
      <c r="E36" s="421">
        <v>41243</v>
      </c>
      <c r="F36" s="25">
        <v>1.32E-2</v>
      </c>
      <c r="G36" s="25">
        <v>-1.1900000000000001E-2</v>
      </c>
      <c r="H36" s="25">
        <v>2.9999999999999997E-4</v>
      </c>
      <c r="I36" s="25">
        <v>1.0699999999999999E-2</v>
      </c>
      <c r="J36" s="25">
        <v>1E-4</v>
      </c>
      <c r="L36" s="421">
        <v>41243</v>
      </c>
      <c r="M36" s="25">
        <v>1.23E-3</v>
      </c>
      <c r="N36" s="25">
        <v>4.4999999999999997E-3</v>
      </c>
      <c r="O36" s="25">
        <v>6.1000000000000004E-3</v>
      </c>
      <c r="P36" s="25">
        <v>6.4799999999999996E-3</v>
      </c>
      <c r="Q36" s="25">
        <v>-3.4299999999999999E-3</v>
      </c>
      <c r="R36" s="25">
        <v>1.115E-2</v>
      </c>
      <c r="S36" s="25">
        <v>-2.5699999999999998E-3</v>
      </c>
      <c r="T36" s="25">
        <f t="shared" si="0"/>
        <v>-2.6699999999999996E-3</v>
      </c>
      <c r="U36" s="25">
        <f t="shared" si="1"/>
        <v>6.6500000000000005E-3</v>
      </c>
    </row>
    <row r="37" spans="5:21">
      <c r="E37" s="421">
        <v>41274</v>
      </c>
      <c r="F37" s="25">
        <v>2.3099999999999999E-2</v>
      </c>
      <c r="G37" s="25">
        <v>1.29E-2</v>
      </c>
      <c r="H37" s="25">
        <v>3.5200000000000002E-2</v>
      </c>
      <c r="I37" s="25">
        <v>-1.72E-2</v>
      </c>
      <c r="J37" s="25">
        <v>1E-4</v>
      </c>
      <c r="L37" s="421">
        <v>41274</v>
      </c>
      <c r="M37" s="25">
        <v>4.0499999999999998E-3</v>
      </c>
      <c r="N37" s="25">
        <v>5.8300000000000001E-3</v>
      </c>
      <c r="O37" s="25">
        <v>7.6899999999999998E-3</v>
      </c>
      <c r="P37" s="25">
        <v>7.2100000000000003E-3</v>
      </c>
      <c r="Q37" s="25">
        <v>1.2999999999999999E-4</v>
      </c>
      <c r="R37" s="25">
        <v>2.085E-2</v>
      </c>
      <c r="S37" s="25">
        <v>-8.5699999999999995E-3</v>
      </c>
      <c r="T37" s="25">
        <f t="shared" si="0"/>
        <v>-8.6699999999999989E-3</v>
      </c>
      <c r="U37" s="25">
        <f t="shared" si="1"/>
        <v>1.502E-2</v>
      </c>
    </row>
    <row r="38" spans="5:21">
      <c r="E38" s="421">
        <v>41305</v>
      </c>
      <c r="F38" s="25">
        <v>5.45E-2</v>
      </c>
      <c r="G38" s="25">
        <v>2.9999999999999997E-4</v>
      </c>
      <c r="H38" s="25">
        <v>2.1100000000000001E-2</v>
      </c>
      <c r="I38" s="25">
        <v>1E-3</v>
      </c>
      <c r="J38" s="25">
        <v>0</v>
      </c>
      <c r="L38" s="421">
        <v>41305</v>
      </c>
      <c r="M38" s="25">
        <v>6.13E-3</v>
      </c>
      <c r="N38" s="25">
        <v>2.3E-3</v>
      </c>
      <c r="O38" s="25">
        <v>-2.1000000000000001E-4</v>
      </c>
      <c r="P38" s="25">
        <v>-7.3099999999999997E-3</v>
      </c>
      <c r="Q38" s="25">
        <v>-2.2849999999999999E-2</v>
      </c>
      <c r="R38" s="25">
        <v>1.6080000000000001E-2</v>
      </c>
      <c r="S38" s="25">
        <v>-1.0410000000000001E-2</v>
      </c>
      <c r="T38" s="25">
        <f t="shared" si="0"/>
        <v>-1.0410000000000001E-2</v>
      </c>
      <c r="U38" s="25">
        <f t="shared" si="1"/>
        <v>1.3780000000000001E-2</v>
      </c>
    </row>
    <row r="39" spans="5:21">
      <c r="E39" s="421">
        <v>41333</v>
      </c>
      <c r="F39" s="25">
        <v>8.9999999999999998E-4</v>
      </c>
      <c r="G39" s="25">
        <v>3.2000000000000002E-3</v>
      </c>
      <c r="H39" s="25">
        <v>-7.1999999999999998E-3</v>
      </c>
      <c r="I39" s="25">
        <v>3.1199999999999999E-2</v>
      </c>
      <c r="J39" s="25">
        <v>0</v>
      </c>
      <c r="L39" s="421">
        <v>41333</v>
      </c>
      <c r="M39" s="25">
        <v>-1.29E-2</v>
      </c>
      <c r="N39" s="25">
        <v>-7.92E-3</v>
      </c>
      <c r="O39" s="25">
        <v>-4.6899999999999997E-3</v>
      </c>
      <c r="P39" s="25">
        <v>4.2999999999999999E-4</v>
      </c>
      <c r="Q39" s="25">
        <v>-1.2999999999999999E-4</v>
      </c>
      <c r="R39" s="25">
        <v>-1.9300000000000001E-3</v>
      </c>
      <c r="S39" s="25">
        <v>-1.132E-2</v>
      </c>
      <c r="T39" s="25">
        <f t="shared" si="0"/>
        <v>-1.132E-2</v>
      </c>
      <c r="U39" s="25">
        <f t="shared" si="1"/>
        <v>5.9899999999999997E-3</v>
      </c>
    </row>
    <row r="40" spans="5:21">
      <c r="E40" s="421">
        <v>41364</v>
      </c>
      <c r="F40" s="25">
        <v>2.2800000000000001E-2</v>
      </c>
      <c r="G40" s="25">
        <v>6.8999999999999999E-3</v>
      </c>
      <c r="H40" s="25">
        <v>-2.01E-2</v>
      </c>
      <c r="I40" s="25">
        <v>3.6999999999999998E-2</v>
      </c>
      <c r="J40" s="25">
        <v>0</v>
      </c>
      <c r="L40" s="421">
        <v>41364</v>
      </c>
      <c r="M40" s="25">
        <v>-4.5100000000000001E-3</v>
      </c>
      <c r="N40" s="25">
        <v>-2.9099999999999998E-3</v>
      </c>
      <c r="O40" s="25">
        <v>-6.8000000000000005E-4</v>
      </c>
      <c r="P40" s="25">
        <v>1.25E-3</v>
      </c>
      <c r="Q40" s="25">
        <v>1.66E-3</v>
      </c>
      <c r="R40" s="25">
        <v>5.1799999999999997E-3</v>
      </c>
      <c r="S40" s="25">
        <v>-6.4700000000000001E-3</v>
      </c>
      <c r="T40" s="25">
        <f t="shared" si="0"/>
        <v>-6.4700000000000001E-3</v>
      </c>
      <c r="U40" s="25">
        <f t="shared" si="1"/>
        <v>8.09E-3</v>
      </c>
    </row>
    <row r="41" spans="5:21">
      <c r="E41" s="421">
        <v>41394</v>
      </c>
      <c r="F41" s="25">
        <v>3.0099999999999998E-2</v>
      </c>
      <c r="G41" s="25">
        <v>-1.32E-2</v>
      </c>
      <c r="H41" s="25">
        <v>1.0500000000000001E-2</v>
      </c>
      <c r="I41" s="25">
        <v>2.98E-2</v>
      </c>
      <c r="J41" s="25">
        <v>0</v>
      </c>
      <c r="L41" s="421">
        <v>41394</v>
      </c>
      <c r="M41" s="25">
        <v>1.115E-2</v>
      </c>
      <c r="N41" s="25">
        <v>1.6209999999999999E-2</v>
      </c>
      <c r="O41" s="25">
        <v>2.1610000000000001E-2</v>
      </c>
      <c r="P41" s="25">
        <v>2.7E-2</v>
      </c>
      <c r="Q41" s="25">
        <v>4.2610000000000002E-2</v>
      </c>
      <c r="R41" s="25">
        <v>2.3130000000000001E-2</v>
      </c>
      <c r="S41" s="25">
        <v>6.4799999999999996E-3</v>
      </c>
      <c r="T41" s="25">
        <f t="shared" si="0"/>
        <v>6.4799999999999996E-3</v>
      </c>
      <c r="U41" s="25">
        <f t="shared" si="1"/>
        <v>6.9200000000000025E-3</v>
      </c>
    </row>
    <row r="42" spans="5:21">
      <c r="E42" s="421">
        <v>41425</v>
      </c>
      <c r="F42" s="25">
        <v>5.4999999999999997E-3</v>
      </c>
      <c r="G42" s="25">
        <v>-6.3E-3</v>
      </c>
      <c r="H42" s="25">
        <v>1.01E-2</v>
      </c>
      <c r="I42" s="25">
        <v>-1.4200000000000001E-2</v>
      </c>
      <c r="J42" s="25">
        <v>0</v>
      </c>
      <c r="L42" s="421">
        <v>41425</v>
      </c>
      <c r="M42" s="25">
        <v>-1.1769999999999999E-2</v>
      </c>
      <c r="N42" s="25">
        <v>-1.601E-2</v>
      </c>
      <c r="O42" s="25">
        <v>-2.0250000000000001E-2</v>
      </c>
      <c r="P42" s="25">
        <v>-3.04E-2</v>
      </c>
      <c r="Q42" s="25">
        <v>-4.7559999999999998E-2</v>
      </c>
      <c r="R42" s="25">
        <v>-8.5900000000000004E-3</v>
      </c>
      <c r="S42" s="25">
        <v>-2.63E-2</v>
      </c>
      <c r="T42" s="25">
        <f t="shared" si="0"/>
        <v>-2.63E-2</v>
      </c>
      <c r="U42" s="25">
        <f t="shared" si="1"/>
        <v>7.4199999999999995E-3</v>
      </c>
    </row>
    <row r="43" spans="5:21">
      <c r="E43" s="421">
        <v>41455</v>
      </c>
      <c r="F43" s="25">
        <v>-2.5100000000000001E-2</v>
      </c>
      <c r="G43" s="25">
        <v>4.4000000000000003E-3</v>
      </c>
      <c r="H43" s="25">
        <v>-2.3999999999999998E-3</v>
      </c>
      <c r="I43" s="25">
        <v>1.01E-2</v>
      </c>
      <c r="J43" s="25">
        <v>0</v>
      </c>
      <c r="L43" s="421">
        <v>41455</v>
      </c>
      <c r="M43" s="25">
        <v>-3.7499999999999999E-3</v>
      </c>
      <c r="N43" s="25">
        <v>-1.461E-2</v>
      </c>
      <c r="O43" s="25">
        <v>-2.4080000000000001E-2</v>
      </c>
      <c r="P43" s="25">
        <v>-3.4180000000000002E-2</v>
      </c>
      <c r="Q43" s="25">
        <v>-4.8070000000000002E-2</v>
      </c>
      <c r="R43" s="25">
        <v>-2.726E-2</v>
      </c>
      <c r="S43" s="25">
        <v>-3.62E-3</v>
      </c>
      <c r="T43" s="25">
        <f t="shared" si="0"/>
        <v>-3.62E-3</v>
      </c>
      <c r="U43" s="25">
        <f t="shared" si="1"/>
        <v>-1.265E-2</v>
      </c>
    </row>
    <row r="44" spans="5:21">
      <c r="E44" s="421">
        <v>41486</v>
      </c>
      <c r="F44" s="25">
        <v>5.57E-2</v>
      </c>
      <c r="G44" s="25">
        <v>1E-4</v>
      </c>
      <c r="H44" s="25">
        <v>4.3E-3</v>
      </c>
      <c r="I44" s="25">
        <v>1.61E-2</v>
      </c>
      <c r="J44" s="25">
        <v>0</v>
      </c>
      <c r="L44" s="421">
        <v>41486</v>
      </c>
      <c r="M44" s="25">
        <v>1.277E-2</v>
      </c>
      <c r="N44" s="25">
        <v>1.67E-2</v>
      </c>
      <c r="O44" s="25">
        <v>1.7930000000000001E-2</v>
      </c>
      <c r="P44" s="25">
        <v>1.4590000000000001E-2</v>
      </c>
      <c r="Q44" s="25">
        <v>1.4460000000000001E-2</v>
      </c>
      <c r="R44" s="25">
        <v>2.1950000000000001E-2</v>
      </c>
      <c r="S44" s="25">
        <v>1.2699999999999999E-2</v>
      </c>
      <c r="T44" s="25">
        <f t="shared" si="0"/>
        <v>1.2699999999999999E-2</v>
      </c>
      <c r="U44" s="25">
        <f t="shared" si="1"/>
        <v>5.2500000000000012E-3</v>
      </c>
    </row>
    <row r="45" spans="5:21">
      <c r="E45" s="421">
        <v>41517</v>
      </c>
      <c r="F45" s="25">
        <v>-1.8200000000000001E-2</v>
      </c>
      <c r="G45" s="25">
        <v>1.29E-2</v>
      </c>
      <c r="H45" s="25">
        <v>-6.8999999999999999E-3</v>
      </c>
      <c r="I45" s="25">
        <v>-1.2800000000000001E-2</v>
      </c>
      <c r="J45" s="25">
        <v>0</v>
      </c>
      <c r="L45" s="421">
        <v>41517</v>
      </c>
      <c r="M45" s="25">
        <v>-2.4499999999999999E-3</v>
      </c>
      <c r="N45" s="25">
        <v>-4.7999999999999996E-3</v>
      </c>
      <c r="O45" s="25">
        <v>-7.4799999999999997E-3</v>
      </c>
      <c r="P45" s="25">
        <v>-1.154E-2</v>
      </c>
      <c r="Q45" s="25">
        <v>-7.9600000000000001E-3</v>
      </c>
      <c r="R45" s="25">
        <v>-5.8700000000000002E-3</v>
      </c>
      <c r="S45" s="25">
        <v>-3.7000000000000002E-3</v>
      </c>
      <c r="T45" s="25">
        <f t="shared" si="0"/>
        <v>-3.7000000000000002E-3</v>
      </c>
      <c r="U45" s="25">
        <f t="shared" si="1"/>
        <v>-1.0700000000000006E-3</v>
      </c>
    </row>
    <row r="46" spans="5:21">
      <c r="E46" s="421">
        <v>41547</v>
      </c>
      <c r="F46" s="25">
        <v>5.5E-2</v>
      </c>
      <c r="G46" s="25">
        <v>2.0400000000000001E-2</v>
      </c>
      <c r="H46" s="25">
        <v>-3.3999999999999998E-3</v>
      </c>
      <c r="I46" s="25">
        <v>3.2399999999999998E-2</v>
      </c>
      <c r="J46" s="25">
        <v>0</v>
      </c>
      <c r="L46" s="421">
        <v>41547</v>
      </c>
      <c r="M46" s="25">
        <v>1.559E-2</v>
      </c>
      <c r="N46" s="25">
        <v>2.0500000000000001E-2</v>
      </c>
      <c r="O46" s="25">
        <v>2.4369999999999999E-2</v>
      </c>
      <c r="P46" s="25">
        <v>2.1909999999999999E-2</v>
      </c>
      <c r="Q46" s="25">
        <v>1.4330000000000001E-2</v>
      </c>
      <c r="R46" s="25">
        <v>1.7680000000000001E-2</v>
      </c>
      <c r="S46" s="25">
        <v>1.7149999999999999E-2</v>
      </c>
      <c r="T46" s="25">
        <f t="shared" si="0"/>
        <v>1.7149999999999999E-2</v>
      </c>
      <c r="U46" s="25">
        <f t="shared" si="1"/>
        <v>-2.8199999999999996E-3</v>
      </c>
    </row>
    <row r="47" spans="5:21">
      <c r="E47" s="421">
        <v>41578</v>
      </c>
      <c r="F47" s="25">
        <v>3.7400000000000003E-2</v>
      </c>
      <c r="G47" s="25">
        <v>-1.6500000000000001E-2</v>
      </c>
      <c r="H47" s="25">
        <v>1.9E-2</v>
      </c>
      <c r="I47" s="25">
        <v>4.3E-3</v>
      </c>
      <c r="J47" s="25">
        <v>0</v>
      </c>
      <c r="L47" s="421">
        <v>41578</v>
      </c>
      <c r="M47" s="25">
        <v>4.4900000000000001E-3</v>
      </c>
      <c r="N47" s="25">
        <v>1.0240000000000001E-2</v>
      </c>
      <c r="O47" s="25">
        <v>1.47E-2</v>
      </c>
      <c r="P47" s="25">
        <v>1.9859999999999999E-2</v>
      </c>
      <c r="Q47" s="25">
        <v>2.1999999999999999E-2</v>
      </c>
      <c r="R47" s="25">
        <v>2.46E-2</v>
      </c>
      <c r="S47" s="25">
        <v>6.8799999999999998E-3</v>
      </c>
      <c r="T47" s="25">
        <f t="shared" si="0"/>
        <v>6.8799999999999998E-3</v>
      </c>
      <c r="U47" s="25">
        <f t="shared" si="1"/>
        <v>1.436E-2</v>
      </c>
    </row>
    <row r="48" spans="5:21">
      <c r="E48" s="421">
        <v>41608</v>
      </c>
      <c r="F48" s="25">
        <v>1.8100000000000002E-2</v>
      </c>
      <c r="G48" s="25">
        <v>-2.0999999999999999E-3</v>
      </c>
      <c r="H48" s="25">
        <v>-1.6999999999999999E-3</v>
      </c>
      <c r="I48" s="25">
        <v>2.1600000000000001E-2</v>
      </c>
      <c r="J48" s="25">
        <v>0</v>
      </c>
      <c r="L48" s="421">
        <v>41608</v>
      </c>
      <c r="M48" s="25">
        <v>-8.4999999999999995E-4</v>
      </c>
      <c r="N48" s="25">
        <v>1.0499999999999999E-3</v>
      </c>
      <c r="O48" s="25">
        <v>1.23E-3</v>
      </c>
      <c r="P48" s="25">
        <v>-3.5599999999999998E-3</v>
      </c>
      <c r="Q48" s="25">
        <v>-8.9099999999999995E-3</v>
      </c>
      <c r="R48" s="25">
        <v>4.5700000000000003E-3</v>
      </c>
      <c r="S48" s="25">
        <v>-8.7500000000000008E-3</v>
      </c>
      <c r="T48" s="25">
        <f t="shared" si="0"/>
        <v>-8.7500000000000008E-3</v>
      </c>
      <c r="U48" s="25">
        <f t="shared" si="1"/>
        <v>3.5200000000000006E-3</v>
      </c>
    </row>
    <row r="49" spans="5:21">
      <c r="E49" s="421">
        <v>41639</v>
      </c>
      <c r="F49" s="25">
        <v>2.18E-2</v>
      </c>
      <c r="G49" s="25">
        <v>-2.2000000000000001E-3</v>
      </c>
      <c r="H49" s="25">
        <v>-1.5E-3</v>
      </c>
      <c r="I49" s="25">
        <v>1.11E-2</v>
      </c>
      <c r="J49" s="25">
        <v>0</v>
      </c>
      <c r="L49" s="421">
        <v>41639</v>
      </c>
      <c r="M49" s="25">
        <v>1.97E-3</v>
      </c>
      <c r="N49" s="25">
        <v>-1.2899999999999999E-3</v>
      </c>
      <c r="O49" s="25">
        <v>-1.92E-3</v>
      </c>
      <c r="P49" s="25">
        <v>-2.2200000000000002E-3</v>
      </c>
      <c r="Q49" s="25">
        <v>1.1800000000000001E-3</v>
      </c>
      <c r="R49" s="25">
        <v>8.6E-3</v>
      </c>
      <c r="S49" s="25">
        <v>-8.2699999999999996E-3</v>
      </c>
      <c r="T49" s="25">
        <f t="shared" si="0"/>
        <v>-8.2699999999999996E-3</v>
      </c>
      <c r="U49" s="25">
        <f t="shared" si="1"/>
        <v>9.8899999999999995E-3</v>
      </c>
    </row>
    <row r="50" spans="5:21">
      <c r="E50" s="421">
        <v>41670</v>
      </c>
      <c r="F50" s="25">
        <v>-3.32E-2</v>
      </c>
      <c r="G50" s="25">
        <v>2.7199999999999998E-2</v>
      </c>
      <c r="H50" s="25">
        <v>-4.0000000000000002E-4</v>
      </c>
      <c r="I50" s="25">
        <v>1.15E-2</v>
      </c>
      <c r="J50" s="25">
        <v>0</v>
      </c>
      <c r="L50" s="421">
        <v>41670</v>
      </c>
      <c r="M50" s="25">
        <v>-5.0200000000000002E-3</v>
      </c>
      <c r="N50" s="25">
        <v>1.5100000000000001E-3</v>
      </c>
      <c r="O50" s="25">
        <v>7.2700000000000004E-3</v>
      </c>
      <c r="P50" s="25">
        <v>1.4789999999999999E-2</v>
      </c>
      <c r="Q50" s="25">
        <v>3.0159999999999999E-2</v>
      </c>
      <c r="R50" s="25">
        <v>1E-3</v>
      </c>
      <c r="S50" s="25">
        <v>9.7099999999999999E-3</v>
      </c>
      <c r="T50" s="25">
        <f t="shared" si="0"/>
        <v>9.7099999999999999E-3</v>
      </c>
      <c r="U50" s="25">
        <f t="shared" si="1"/>
        <v>-5.1000000000000004E-4</v>
      </c>
    </row>
    <row r="51" spans="5:21">
      <c r="E51" s="421">
        <v>41698</v>
      </c>
      <c r="F51" s="25">
        <v>5.0500000000000003E-2</v>
      </c>
      <c r="G51" s="25">
        <v>-7.1000000000000004E-3</v>
      </c>
      <c r="H51" s="25">
        <v>2.9999999999999997E-4</v>
      </c>
      <c r="I51" s="25">
        <v>1.5900000000000001E-2</v>
      </c>
      <c r="J51" s="25">
        <v>0</v>
      </c>
      <c r="L51" s="421">
        <v>41698</v>
      </c>
      <c r="M51" s="25">
        <v>1.12E-2</v>
      </c>
      <c r="N51" s="25">
        <v>1.426E-2</v>
      </c>
      <c r="O51" s="25">
        <v>1.763E-2</v>
      </c>
      <c r="P51" s="25">
        <v>1.941E-2</v>
      </c>
      <c r="Q51" s="25">
        <v>2.1860000000000001E-2</v>
      </c>
      <c r="R51" s="25">
        <v>2.4330000000000001E-2</v>
      </c>
      <c r="S51" s="25">
        <v>1.086E-2</v>
      </c>
      <c r="T51" s="25">
        <f t="shared" si="0"/>
        <v>1.086E-2</v>
      </c>
      <c r="U51" s="25">
        <f t="shared" si="1"/>
        <v>1.0070000000000001E-2</v>
      </c>
    </row>
    <row r="52" spans="5:21">
      <c r="E52" s="421">
        <v>41729</v>
      </c>
      <c r="F52" s="25">
        <v>1.5E-3</v>
      </c>
      <c r="G52" s="25">
        <v>-4.5999999999999999E-3</v>
      </c>
      <c r="H52" s="25">
        <v>2.7199999999999998E-2</v>
      </c>
      <c r="I52" s="25">
        <v>-2.24E-2</v>
      </c>
      <c r="J52" s="25">
        <v>0</v>
      </c>
      <c r="L52" s="421">
        <v>41729</v>
      </c>
      <c r="M52" s="25">
        <v>2.2000000000000001E-4</v>
      </c>
      <c r="N52" s="25">
        <v>-1.5299999999999999E-3</v>
      </c>
      <c r="O52" s="25">
        <v>-4.6000000000000001E-4</v>
      </c>
      <c r="P52" s="25">
        <v>2.4499999999999999E-3</v>
      </c>
      <c r="Q52" s="25">
        <v>3.63E-3</v>
      </c>
      <c r="R52" s="25">
        <v>3.2000000000000002E-3</v>
      </c>
      <c r="S52" s="25">
        <v>-2.7799999999999999E-3</v>
      </c>
      <c r="T52" s="25">
        <f t="shared" si="0"/>
        <v>-2.7799999999999999E-3</v>
      </c>
      <c r="U52" s="25">
        <f t="shared" si="1"/>
        <v>4.7299999999999998E-3</v>
      </c>
    </row>
    <row r="53" spans="5:21">
      <c r="E53" s="421">
        <v>41759</v>
      </c>
      <c r="F53" s="25">
        <v>5.5999999999999999E-3</v>
      </c>
      <c r="G53" s="25">
        <v>-2.6499999999999999E-2</v>
      </c>
      <c r="H53" s="25">
        <v>1.0699999999999999E-2</v>
      </c>
      <c r="I53" s="25">
        <v>-3.4200000000000001E-2</v>
      </c>
      <c r="J53" s="25">
        <v>0</v>
      </c>
      <c r="L53" s="421">
        <v>41759</v>
      </c>
      <c r="M53" s="25">
        <v>5.7000000000000002E-3</v>
      </c>
      <c r="N53" s="25">
        <v>8.77E-3</v>
      </c>
      <c r="O53" s="25">
        <v>1.371E-2</v>
      </c>
      <c r="P53" s="25">
        <v>1.5440000000000001E-2</v>
      </c>
      <c r="Q53" s="25">
        <v>2.3820000000000001E-2</v>
      </c>
      <c r="R53" s="25">
        <v>9.6699999999999998E-3</v>
      </c>
      <c r="S53" s="25">
        <v>8.1700000000000002E-3</v>
      </c>
      <c r="T53" s="25">
        <f t="shared" si="0"/>
        <v>8.1700000000000002E-3</v>
      </c>
      <c r="U53" s="25">
        <f t="shared" si="1"/>
        <v>8.9999999999999976E-4</v>
      </c>
    </row>
    <row r="54" spans="5:21">
      <c r="E54" s="421">
        <v>41790</v>
      </c>
      <c r="F54" s="25">
        <v>1.7500000000000002E-2</v>
      </c>
      <c r="G54" s="25">
        <v>-1.12E-2</v>
      </c>
      <c r="H54" s="25">
        <v>-3.2000000000000002E-3</v>
      </c>
      <c r="I54" s="25">
        <v>5.4999999999999997E-3</v>
      </c>
      <c r="J54" s="25">
        <v>0</v>
      </c>
      <c r="L54" s="421">
        <v>41790</v>
      </c>
      <c r="M54" s="25">
        <v>-1.1800000000000001E-3</v>
      </c>
      <c r="N54" s="25">
        <v>4.4000000000000003E-3</v>
      </c>
      <c r="O54" s="25">
        <v>7.8799999999999999E-3</v>
      </c>
      <c r="P54" s="25">
        <v>1.423E-2</v>
      </c>
      <c r="Q54" s="25">
        <v>2.1760000000000002E-2</v>
      </c>
      <c r="R54" s="25">
        <v>8.6E-3</v>
      </c>
      <c r="S54" s="25">
        <v>2E-3</v>
      </c>
      <c r="T54" s="25">
        <f t="shared" si="0"/>
        <v>2E-3</v>
      </c>
      <c r="U54" s="25">
        <f t="shared" si="1"/>
        <v>4.1999999999999997E-3</v>
      </c>
    </row>
    <row r="55" spans="5:21">
      <c r="E55" s="421">
        <v>41820</v>
      </c>
      <c r="F55" s="25">
        <v>0.02</v>
      </c>
      <c r="G55" s="25">
        <v>2.0899999999999998E-2</v>
      </c>
      <c r="H55" s="25">
        <v>-1.1000000000000001E-3</v>
      </c>
      <c r="I55" s="25">
        <v>3.0999999999999999E-3</v>
      </c>
      <c r="J55" s="25">
        <v>0</v>
      </c>
      <c r="L55" s="421">
        <v>41820</v>
      </c>
      <c r="M55" s="25">
        <v>4.5199999999999997E-3</v>
      </c>
      <c r="N55" s="25">
        <v>4.9899999999999996E-3</v>
      </c>
      <c r="O55" s="25">
        <v>7.4200000000000004E-3</v>
      </c>
      <c r="P55" s="25">
        <v>6.5100000000000002E-3</v>
      </c>
      <c r="Q55" s="25">
        <v>7.0299999999999998E-3</v>
      </c>
      <c r="R55" s="25">
        <v>1.048E-2</v>
      </c>
      <c r="S55" s="25">
        <v>5.5799999999999999E-3</v>
      </c>
      <c r="T55" s="25">
        <f t="shared" si="0"/>
        <v>5.5799999999999999E-3</v>
      </c>
      <c r="U55" s="25">
        <f t="shared" si="1"/>
        <v>5.4900000000000001E-3</v>
      </c>
    </row>
    <row r="56" spans="5:21">
      <c r="E56" s="421">
        <v>41851</v>
      </c>
      <c r="F56" s="25">
        <v>-2.0500000000000001E-2</v>
      </c>
      <c r="G56" s="25">
        <v>-1.17E-2</v>
      </c>
      <c r="H56" s="25">
        <v>2.0999999999999999E-3</v>
      </c>
      <c r="I56" s="25">
        <v>5.4999999999999997E-3</v>
      </c>
      <c r="J56" s="25">
        <v>0</v>
      </c>
      <c r="L56" s="421">
        <v>41851</v>
      </c>
      <c r="M56" s="25">
        <v>-9.7300000000000008E-3</v>
      </c>
      <c r="N56" s="25">
        <v>-9.6200000000000001E-3</v>
      </c>
      <c r="O56" s="25">
        <v>-9.6600000000000002E-3</v>
      </c>
      <c r="P56" s="25">
        <v>-6.2700000000000004E-3</v>
      </c>
      <c r="Q56" s="25">
        <v>-7.1000000000000002E-4</v>
      </c>
      <c r="R56" s="25">
        <v>-1.4149999999999999E-2</v>
      </c>
      <c r="S56" s="25">
        <v>-1.076E-2</v>
      </c>
      <c r="T56" s="25">
        <f t="shared" si="0"/>
        <v>-1.076E-2</v>
      </c>
      <c r="U56" s="25">
        <f t="shared" si="1"/>
        <v>-4.5299999999999993E-3</v>
      </c>
    </row>
    <row r="57" spans="5:21">
      <c r="E57" s="421">
        <v>41882</v>
      </c>
      <c r="F57" s="25">
        <v>1.9300000000000001E-2</v>
      </c>
      <c r="G57" s="25">
        <v>-4.7000000000000002E-3</v>
      </c>
      <c r="H57" s="25">
        <v>-8.0000000000000002E-3</v>
      </c>
      <c r="I57" s="25">
        <v>4.1000000000000003E-3</v>
      </c>
      <c r="J57" s="25">
        <v>0</v>
      </c>
      <c r="L57" s="421">
        <v>41882</v>
      </c>
      <c r="M57" s="25">
        <v>-3.2799999999999999E-3</v>
      </c>
      <c r="N57" s="25">
        <v>1.01E-3</v>
      </c>
      <c r="O57" s="25">
        <v>4.3699999999999998E-3</v>
      </c>
      <c r="P57" s="25">
        <v>1.321E-2</v>
      </c>
      <c r="Q57" s="25">
        <v>2.8060000000000002E-2</v>
      </c>
      <c r="R57" s="25">
        <v>7.28E-3</v>
      </c>
      <c r="S57" s="25">
        <v>-1.06E-3</v>
      </c>
      <c r="T57" s="25">
        <f t="shared" si="0"/>
        <v>-1.06E-3</v>
      </c>
      <c r="U57" s="25">
        <f t="shared" si="1"/>
        <v>6.2699999999999995E-3</v>
      </c>
    </row>
    <row r="58" spans="5:21">
      <c r="E58" s="421">
        <v>41912</v>
      </c>
      <c r="F58" s="25">
        <v>-3.09E-2</v>
      </c>
      <c r="G58" s="25">
        <v>-2.6800000000000001E-2</v>
      </c>
      <c r="H58" s="25">
        <v>-8.6E-3</v>
      </c>
      <c r="I58" s="25">
        <v>1.03E-2</v>
      </c>
      <c r="J58" s="25">
        <v>0</v>
      </c>
      <c r="L58" s="421">
        <v>41912</v>
      </c>
      <c r="M58" s="25">
        <v>-1.873E-2</v>
      </c>
      <c r="N58" s="25">
        <v>-1.9E-2</v>
      </c>
      <c r="O58" s="25">
        <v>-2.299E-2</v>
      </c>
      <c r="P58" s="25">
        <v>-2.3300000000000001E-2</v>
      </c>
      <c r="Q58" s="25">
        <v>-2.9319999999999999E-2</v>
      </c>
      <c r="R58" s="25">
        <v>-2.64E-2</v>
      </c>
      <c r="S58" s="25">
        <v>-2.8230000000000002E-2</v>
      </c>
      <c r="T58" s="25">
        <f t="shared" si="0"/>
        <v>-2.8230000000000002E-2</v>
      </c>
      <c r="U58" s="25">
        <f t="shared" si="1"/>
        <v>-7.4000000000000003E-3</v>
      </c>
    </row>
    <row r="59" spans="5:21">
      <c r="E59" s="421">
        <v>41943</v>
      </c>
      <c r="F59" s="25">
        <v>3.3999999999999998E-3</v>
      </c>
      <c r="G59" s="25">
        <v>-1.6999999999999999E-3</v>
      </c>
      <c r="H59" s="25">
        <v>-3.04E-2</v>
      </c>
      <c r="I59" s="25">
        <v>-2.8999999999999998E-3</v>
      </c>
      <c r="J59" s="25">
        <v>0</v>
      </c>
      <c r="L59" s="421">
        <v>41943</v>
      </c>
      <c r="M59" s="25">
        <v>-2.5999999999999999E-3</v>
      </c>
      <c r="N59" s="25">
        <v>7.1000000000000002E-4</v>
      </c>
      <c r="O59" s="25">
        <v>2.5200000000000001E-3</v>
      </c>
      <c r="P59" s="25">
        <v>7.8499999999999993E-3</v>
      </c>
      <c r="Q59" s="25">
        <v>1.057E-2</v>
      </c>
      <c r="R59" s="25">
        <v>6.0800000000000003E-3</v>
      </c>
      <c r="S59" s="25">
        <v>-3.65E-3</v>
      </c>
      <c r="T59" s="25">
        <f t="shared" si="0"/>
        <v>-3.65E-3</v>
      </c>
      <c r="U59" s="25">
        <f t="shared" si="1"/>
        <v>5.3700000000000006E-3</v>
      </c>
    </row>
    <row r="60" spans="5:21">
      <c r="E60" s="421">
        <v>41973</v>
      </c>
      <c r="F60" s="25">
        <v>1.6500000000000001E-2</v>
      </c>
      <c r="G60" s="25">
        <v>-2.0899999999999998E-2</v>
      </c>
      <c r="H60" s="25">
        <v>-2.1399999999999999E-2</v>
      </c>
      <c r="I60" s="25">
        <v>7.1000000000000004E-3</v>
      </c>
      <c r="J60" s="25">
        <v>0</v>
      </c>
      <c r="L60" s="421">
        <v>41973</v>
      </c>
      <c r="M60" s="25">
        <v>-4.6800000000000001E-3</v>
      </c>
      <c r="N60" s="25">
        <v>-1.3500000000000001E-3</v>
      </c>
      <c r="O60" s="25">
        <v>1.7600000000000001E-3</v>
      </c>
      <c r="P60" s="25">
        <v>6.2599999999999999E-3</v>
      </c>
      <c r="Q60" s="25">
        <v>1.085E-2</v>
      </c>
      <c r="R60" s="25">
        <v>-7.0299999999999998E-3</v>
      </c>
      <c r="S60" s="25">
        <v>-1.048E-2</v>
      </c>
      <c r="T60" s="25">
        <f t="shared" si="0"/>
        <v>-1.048E-2</v>
      </c>
      <c r="U60" s="25">
        <f t="shared" si="1"/>
        <v>-5.6799999999999993E-3</v>
      </c>
    </row>
    <row r="61" spans="5:21">
      <c r="E61" s="421">
        <v>42004</v>
      </c>
      <c r="F61" s="25">
        <v>-1.44E-2</v>
      </c>
      <c r="G61" s="25">
        <v>1.7600000000000001E-2</v>
      </c>
      <c r="H61" s="25">
        <v>-1.1999999999999999E-3</v>
      </c>
      <c r="I61" s="25">
        <v>1.12E-2</v>
      </c>
      <c r="J61" s="25">
        <v>0</v>
      </c>
      <c r="L61" s="421">
        <v>42004</v>
      </c>
      <c r="M61" s="25">
        <v>-1.256E-2</v>
      </c>
      <c r="N61" s="25">
        <v>-1.261E-2</v>
      </c>
      <c r="O61" s="25">
        <v>-1.3180000000000001E-2</v>
      </c>
      <c r="P61" s="25">
        <v>-8.3700000000000007E-3</v>
      </c>
      <c r="Q61" s="25">
        <v>6.79E-3</v>
      </c>
      <c r="R61" s="25">
        <v>-2.2769999999999999E-2</v>
      </c>
      <c r="S61" s="25">
        <v>-1.017E-2</v>
      </c>
      <c r="T61" s="25">
        <f t="shared" si="0"/>
        <v>-1.017E-2</v>
      </c>
      <c r="U61" s="25">
        <f t="shared" si="1"/>
        <v>-1.0159999999999999E-2</v>
      </c>
    </row>
    <row r="62" spans="5:21">
      <c r="E62" s="421">
        <v>42035</v>
      </c>
      <c r="F62" s="25">
        <v>-1.7500000000000002E-2</v>
      </c>
      <c r="G62" s="25">
        <v>-2.9999999999999997E-4</v>
      </c>
      <c r="H62" s="25">
        <v>-2.4400000000000002E-2</v>
      </c>
      <c r="I62" s="25">
        <v>4.0500000000000001E-2</v>
      </c>
      <c r="J62" s="25">
        <v>0</v>
      </c>
      <c r="L62" s="421">
        <v>42035</v>
      </c>
      <c r="M62" s="25">
        <v>-2.01E-2</v>
      </c>
      <c r="N62" s="25">
        <v>-1.225E-2</v>
      </c>
      <c r="O62" s="25">
        <v>-1.2370000000000001E-2</v>
      </c>
      <c r="P62" s="25">
        <v>5.7600000000000004E-3</v>
      </c>
      <c r="Q62" s="25">
        <v>3.9469999999999998E-2</v>
      </c>
      <c r="R62" s="25">
        <v>-9.5899999999999996E-3</v>
      </c>
      <c r="S62" s="25">
        <v>-7.45E-3</v>
      </c>
      <c r="T62" s="25">
        <f t="shared" si="0"/>
        <v>-7.45E-3</v>
      </c>
      <c r="U62" s="25">
        <f t="shared" si="1"/>
        <v>2.6600000000000009E-3</v>
      </c>
    </row>
    <row r="63" spans="5:21">
      <c r="E63" s="421">
        <v>42063</v>
      </c>
      <c r="F63" s="25">
        <v>5.9299999999999999E-2</v>
      </c>
      <c r="G63" s="25">
        <v>-1.6999999999999999E-3</v>
      </c>
      <c r="H63" s="25">
        <v>-4.4999999999999997E-3</v>
      </c>
      <c r="I63" s="25">
        <v>-2.4299999999999999E-2</v>
      </c>
      <c r="J63" s="25">
        <v>0</v>
      </c>
      <c r="L63" s="421">
        <v>42063</v>
      </c>
      <c r="M63" s="25">
        <v>8.0000000000000004E-4</v>
      </c>
      <c r="N63" s="25">
        <v>-1.2999999999999999E-4</v>
      </c>
      <c r="O63" s="25">
        <v>1E-4</v>
      </c>
      <c r="P63" s="25">
        <v>-1.48E-3</v>
      </c>
      <c r="Q63" s="25">
        <v>-1.8419999999999999E-2</v>
      </c>
      <c r="R63" s="25">
        <v>2.426E-2</v>
      </c>
      <c r="S63" s="25">
        <v>-7.5199999999999998E-3</v>
      </c>
      <c r="T63" s="25">
        <f t="shared" si="0"/>
        <v>-7.5199999999999998E-3</v>
      </c>
      <c r="U63" s="25">
        <f t="shared" si="1"/>
        <v>2.4390000000000002E-2</v>
      </c>
    </row>
    <row r="64" spans="5:21">
      <c r="E64" s="421">
        <v>42094</v>
      </c>
      <c r="F64" s="25">
        <v>-1.18E-2</v>
      </c>
      <c r="G64" s="25">
        <v>1.4E-2</v>
      </c>
      <c r="H64" s="25">
        <v>-8.6E-3</v>
      </c>
      <c r="I64" s="25">
        <v>1.8200000000000001E-2</v>
      </c>
      <c r="J64" s="25">
        <v>0</v>
      </c>
      <c r="L64" s="421">
        <v>42094</v>
      </c>
      <c r="M64" s="25">
        <v>-1.248E-2</v>
      </c>
      <c r="N64" s="25">
        <v>-9.5499999999999995E-3</v>
      </c>
      <c r="O64" s="25">
        <v>-1.4239999999999999E-2</v>
      </c>
      <c r="P64" s="25">
        <v>-1.042E-2</v>
      </c>
      <c r="Q64" s="25">
        <v>-4.6600000000000001E-3</v>
      </c>
      <c r="R64" s="25">
        <v>-1.0869999999999999E-2</v>
      </c>
      <c r="S64" s="25">
        <v>-1.1520000000000001E-2</v>
      </c>
      <c r="T64" s="25">
        <f t="shared" si="0"/>
        <v>-1.1520000000000001E-2</v>
      </c>
      <c r="U64" s="25">
        <f t="shared" si="1"/>
        <v>-1.32E-3</v>
      </c>
    </row>
    <row r="65" spans="5:21">
      <c r="E65" s="421">
        <v>42124</v>
      </c>
      <c r="F65" s="25">
        <v>2.7E-2</v>
      </c>
      <c r="G65" s="25">
        <v>8.0000000000000002E-3</v>
      </c>
      <c r="H65" s="25">
        <v>2.1499999999999998E-2</v>
      </c>
      <c r="I65" s="25">
        <v>-3.32E-2</v>
      </c>
      <c r="J65" s="25">
        <v>0</v>
      </c>
      <c r="L65" s="421">
        <v>42124</v>
      </c>
      <c r="M65" s="25">
        <v>1.6039999999999999E-2</v>
      </c>
      <c r="N65" s="25">
        <v>1.4290000000000001E-2</v>
      </c>
      <c r="O65" s="25">
        <v>1.6750000000000001E-2</v>
      </c>
      <c r="P65" s="25">
        <v>9.1299999999999992E-3</v>
      </c>
      <c r="Q65" s="25">
        <v>-1.1599999999999999E-2</v>
      </c>
      <c r="R65" s="25">
        <v>2.513E-2</v>
      </c>
      <c r="S65" s="25">
        <v>1.281E-2</v>
      </c>
      <c r="T65" s="25">
        <f t="shared" si="0"/>
        <v>1.281E-2</v>
      </c>
      <c r="U65" s="25">
        <f t="shared" si="1"/>
        <v>1.0839999999999999E-2</v>
      </c>
    </row>
    <row r="66" spans="5:21">
      <c r="E66" s="421">
        <v>42155</v>
      </c>
      <c r="F66" s="25">
        <v>5.0000000000000001E-3</v>
      </c>
      <c r="G66" s="25">
        <v>1.26E-2</v>
      </c>
      <c r="H66" s="25">
        <v>-1.2500000000000001E-2</v>
      </c>
      <c r="I66" s="25">
        <v>4.1799999999999997E-2</v>
      </c>
      <c r="J66" s="25">
        <v>0</v>
      </c>
      <c r="L66" s="421">
        <v>42155</v>
      </c>
      <c r="M66" s="25">
        <v>-8.2000000000000007E-3</v>
      </c>
      <c r="N66" s="25">
        <v>-7.1700000000000002E-3</v>
      </c>
      <c r="O66" s="25">
        <v>-9.9399999999999992E-3</v>
      </c>
      <c r="P66" s="25">
        <v>-1.107E-2</v>
      </c>
      <c r="Q66" s="25">
        <v>-1.8720000000000001E-2</v>
      </c>
      <c r="R66" s="25">
        <v>3.8000000000000002E-4</v>
      </c>
      <c r="S66" s="25">
        <v>-1.617E-2</v>
      </c>
      <c r="T66" s="25">
        <f t="shared" si="0"/>
        <v>-1.617E-2</v>
      </c>
      <c r="U66" s="25">
        <f t="shared" si="1"/>
        <v>7.5500000000000003E-3</v>
      </c>
    </row>
    <row r="67" spans="5:21">
      <c r="E67" s="421">
        <v>42185</v>
      </c>
      <c r="F67" s="25">
        <v>-2.1000000000000001E-2</v>
      </c>
      <c r="G67" s="25">
        <v>2.0899999999999998E-2</v>
      </c>
      <c r="H67" s="25">
        <v>-6.7999999999999996E-3</v>
      </c>
      <c r="I67" s="25">
        <v>1.9599999999999999E-2</v>
      </c>
      <c r="J67" s="25">
        <v>0</v>
      </c>
      <c r="L67" s="421">
        <v>42185</v>
      </c>
      <c r="M67" s="25">
        <v>4.2199999999999998E-3</v>
      </c>
      <c r="N67" s="25">
        <v>-2.0000000000000001E-4</v>
      </c>
      <c r="O67" s="25">
        <v>-6.4400000000000004E-3</v>
      </c>
      <c r="P67" s="25">
        <v>-1.753E-2</v>
      </c>
      <c r="Q67" s="25">
        <v>-3.2349999999999997E-2</v>
      </c>
      <c r="R67" s="25">
        <v>-1.1039999999999999E-2</v>
      </c>
      <c r="S67" s="25">
        <v>3.8800000000000002E-3</v>
      </c>
      <c r="T67" s="25">
        <f t="shared" ref="T67:T109" si="2">S67-J67</f>
        <v>3.8800000000000002E-3</v>
      </c>
      <c r="U67" s="25">
        <f t="shared" ref="U67:U109" si="3">R67-N67</f>
        <v>-1.0839999999999999E-2</v>
      </c>
    </row>
    <row r="68" spans="5:21">
      <c r="E68" s="421">
        <v>42216</v>
      </c>
      <c r="F68" s="25">
        <v>1.15E-2</v>
      </c>
      <c r="G68" s="25">
        <v>-3.0700000000000002E-2</v>
      </c>
      <c r="H68" s="25">
        <v>-3.2099999999999997E-2</v>
      </c>
      <c r="I68" s="25">
        <v>3.4700000000000002E-2</v>
      </c>
      <c r="J68" s="25">
        <v>0</v>
      </c>
      <c r="L68" s="421">
        <v>42216</v>
      </c>
      <c r="M68" s="25">
        <v>-4.2500000000000003E-3</v>
      </c>
      <c r="N68" s="25">
        <v>-1.2700000000000001E-3</v>
      </c>
      <c r="O68" s="25">
        <v>7.6000000000000004E-4</v>
      </c>
      <c r="P68" s="25">
        <v>6.1799999999999997E-3</v>
      </c>
      <c r="Q68" s="25">
        <v>1.3440000000000001E-2</v>
      </c>
      <c r="R68" s="25">
        <v>-4.4099999999999999E-3</v>
      </c>
      <c r="S68" s="25">
        <v>-8.9999999999999998E-4</v>
      </c>
      <c r="T68" s="25">
        <f t="shared" si="2"/>
        <v>-8.9999999999999998E-4</v>
      </c>
      <c r="U68" s="25">
        <f t="shared" si="3"/>
        <v>-3.1399999999999996E-3</v>
      </c>
    </row>
    <row r="69" spans="5:21">
      <c r="E69" s="421">
        <v>42247</v>
      </c>
      <c r="F69" s="25">
        <v>-6.1699999999999998E-2</v>
      </c>
      <c r="G69" s="25">
        <v>1.38E-2</v>
      </c>
      <c r="H69" s="25">
        <v>9.7999999999999997E-3</v>
      </c>
      <c r="I69" s="25">
        <v>-6.1000000000000004E-3</v>
      </c>
      <c r="J69" s="25">
        <v>0</v>
      </c>
      <c r="L69" s="421">
        <v>42247</v>
      </c>
      <c r="M69" s="25">
        <v>1.1900000000000001E-3</v>
      </c>
      <c r="N69" s="25">
        <v>-6.8000000000000005E-4</v>
      </c>
      <c r="O69" s="25">
        <v>-3.1700000000000001E-3</v>
      </c>
      <c r="P69" s="25">
        <v>-5.94E-3</v>
      </c>
      <c r="Q69" s="25">
        <v>-1.6629999999999999E-2</v>
      </c>
      <c r="R69" s="25">
        <v>-1.537E-2</v>
      </c>
      <c r="S69" s="25">
        <v>6.7499999999999999E-3</v>
      </c>
      <c r="T69" s="25">
        <f t="shared" si="2"/>
        <v>6.7499999999999999E-3</v>
      </c>
      <c r="U69" s="25">
        <f t="shared" si="3"/>
        <v>-1.469E-2</v>
      </c>
    </row>
    <row r="70" spans="5:21">
      <c r="E70" s="421">
        <v>42277</v>
      </c>
      <c r="F70" s="25">
        <v>-3.9199999999999999E-2</v>
      </c>
      <c r="G70" s="25">
        <v>-2.5999999999999999E-3</v>
      </c>
      <c r="H70" s="25">
        <v>-9.2999999999999992E-3</v>
      </c>
      <c r="I70" s="25">
        <v>3.5700000000000003E-2</v>
      </c>
      <c r="J70" s="25">
        <v>0</v>
      </c>
      <c r="L70" s="421">
        <v>42277</v>
      </c>
      <c r="M70" s="25">
        <v>-4.6999999999999999E-4</v>
      </c>
      <c r="N70" s="25">
        <v>-4.0000000000000003E-5</v>
      </c>
      <c r="O70" s="25">
        <v>-1.2600000000000001E-3</v>
      </c>
      <c r="P70" s="25">
        <v>9.1E-4</v>
      </c>
      <c r="Q70" s="25">
        <v>3.2000000000000003E-4</v>
      </c>
      <c r="R70" s="25">
        <v>-2.7279999999999999E-2</v>
      </c>
      <c r="S70" s="25">
        <v>6.7200000000000003E-3</v>
      </c>
      <c r="T70" s="25">
        <f t="shared" si="2"/>
        <v>6.7200000000000003E-3</v>
      </c>
      <c r="U70" s="25">
        <f t="shared" si="3"/>
        <v>-2.724E-2</v>
      </c>
    </row>
    <row r="71" spans="5:21">
      <c r="E71" s="421">
        <v>42308</v>
      </c>
      <c r="F71" s="25">
        <v>7.3300000000000004E-2</v>
      </c>
      <c r="G71" s="25">
        <v>-2.3199999999999998E-2</v>
      </c>
      <c r="H71" s="25">
        <v>2.7000000000000001E-3</v>
      </c>
      <c r="I71" s="25">
        <v>-2.63E-2</v>
      </c>
      <c r="J71" s="25">
        <v>0</v>
      </c>
      <c r="L71" s="421">
        <v>42308</v>
      </c>
      <c r="M71" s="25">
        <v>1.72E-3</v>
      </c>
      <c r="N71" s="25">
        <v>2.99E-3</v>
      </c>
      <c r="O71" s="25">
        <v>6.2300000000000003E-3</v>
      </c>
      <c r="P71" s="25">
        <v>9.7800000000000005E-3</v>
      </c>
      <c r="Q71" s="25">
        <v>1.051E-2</v>
      </c>
      <c r="R71" s="25">
        <v>2.9929999999999998E-2</v>
      </c>
      <c r="S71" s="25">
        <v>-2.63E-3</v>
      </c>
      <c r="T71" s="25">
        <f t="shared" si="2"/>
        <v>-2.63E-3</v>
      </c>
      <c r="U71" s="25">
        <f t="shared" si="3"/>
        <v>2.6939999999999999E-2</v>
      </c>
    </row>
    <row r="72" spans="5:21">
      <c r="E72" s="421">
        <v>42338</v>
      </c>
      <c r="F72" s="25">
        <v>-3.0999999999999999E-3</v>
      </c>
      <c r="G72" s="25">
        <v>1.77E-2</v>
      </c>
      <c r="H72" s="25">
        <v>-1.9199999999999998E-2</v>
      </c>
      <c r="I72" s="25">
        <v>2.01E-2</v>
      </c>
      <c r="J72" s="25">
        <v>0</v>
      </c>
      <c r="L72" s="421">
        <v>42338</v>
      </c>
      <c r="M72" s="25">
        <v>-1.256E-2</v>
      </c>
      <c r="N72" s="25">
        <v>-1.1560000000000001E-2</v>
      </c>
      <c r="O72" s="25">
        <v>-1.468E-2</v>
      </c>
      <c r="P72" s="25">
        <v>-1.043E-2</v>
      </c>
      <c r="Q72" s="25">
        <v>-6.7600000000000004E-3</v>
      </c>
      <c r="R72" s="25">
        <v>-2.036E-2</v>
      </c>
      <c r="S72" s="25">
        <v>-1.805E-2</v>
      </c>
      <c r="T72" s="25">
        <f t="shared" si="2"/>
        <v>-1.805E-2</v>
      </c>
      <c r="U72" s="25">
        <f t="shared" si="3"/>
        <v>-8.7999999999999988E-3</v>
      </c>
    </row>
    <row r="73" spans="5:21">
      <c r="E73" s="421">
        <v>42369</v>
      </c>
      <c r="F73" s="25">
        <v>-1.7399999999999999E-2</v>
      </c>
      <c r="G73" s="25">
        <v>9.7000000000000003E-3</v>
      </c>
      <c r="H73" s="25">
        <v>-1.6799999999999999E-2</v>
      </c>
      <c r="I73" s="25">
        <v>3.3799999999999997E-2</v>
      </c>
      <c r="J73" s="25">
        <v>1E-4</v>
      </c>
      <c r="L73" s="421">
        <v>42369</v>
      </c>
      <c r="M73" s="25">
        <v>3.5500000000000002E-3</v>
      </c>
      <c r="N73" s="25">
        <v>8.8000000000000003E-4</v>
      </c>
      <c r="O73" s="25">
        <v>-8.5999999999999998E-4</v>
      </c>
      <c r="P73" s="25">
        <v>-4.2599999999999999E-3</v>
      </c>
      <c r="Q73" s="25">
        <v>-1.575E-2</v>
      </c>
      <c r="R73" s="25">
        <v>-2.1260000000000001E-2</v>
      </c>
      <c r="S73" s="25">
        <v>9.3900000000000008E-3</v>
      </c>
      <c r="T73" s="25">
        <f t="shared" si="2"/>
        <v>9.2900000000000014E-3</v>
      </c>
      <c r="U73" s="25">
        <f t="shared" si="3"/>
        <v>-2.214E-2</v>
      </c>
    </row>
    <row r="74" spans="5:21">
      <c r="E74" s="421">
        <v>42400</v>
      </c>
      <c r="F74" s="25">
        <v>-6.3100000000000003E-2</v>
      </c>
      <c r="G74" s="25">
        <v>-2.1000000000000001E-2</v>
      </c>
      <c r="H74" s="25">
        <v>7.9000000000000008E-3</v>
      </c>
      <c r="I74" s="25">
        <v>6.1000000000000004E-3</v>
      </c>
      <c r="J74" s="25">
        <v>1E-4</v>
      </c>
      <c r="L74" s="421">
        <v>42400</v>
      </c>
      <c r="M74" s="25">
        <v>-1.31E-3</v>
      </c>
      <c r="N74" s="25">
        <v>1.6800000000000001E-3</v>
      </c>
      <c r="O74" s="25">
        <v>3.79E-3</v>
      </c>
      <c r="P74" s="25">
        <v>4.1599999999999996E-3</v>
      </c>
      <c r="Q74" s="25">
        <v>-1.49E-3</v>
      </c>
      <c r="R74" s="25">
        <v>-1.6559999999999998E-2</v>
      </c>
      <c r="S74" s="25">
        <v>6.9300000000000004E-3</v>
      </c>
      <c r="T74" s="25">
        <f t="shared" si="2"/>
        <v>6.8300000000000001E-3</v>
      </c>
      <c r="U74" s="25">
        <f t="shared" si="3"/>
        <v>-1.8239999999999999E-2</v>
      </c>
    </row>
    <row r="75" spans="5:21">
      <c r="E75" s="421">
        <v>42429</v>
      </c>
      <c r="F75" s="25">
        <v>-5.1000000000000004E-3</v>
      </c>
      <c r="G75" s="25">
        <v>8.3999999999999995E-3</v>
      </c>
      <c r="H75" s="25">
        <v>-1.6999999999999999E-3</v>
      </c>
      <c r="I75" s="25">
        <v>-2.8199999999999999E-2</v>
      </c>
      <c r="J75" s="25">
        <v>2.0000000000000001E-4</v>
      </c>
      <c r="L75" s="421">
        <v>42429</v>
      </c>
      <c r="M75" s="25">
        <v>6.1399999999999996E-3</v>
      </c>
      <c r="N75" s="25">
        <v>5.9899999999999997E-3</v>
      </c>
      <c r="O75" s="25">
        <v>6.8700000000000002E-3</v>
      </c>
      <c r="P75" s="25">
        <v>1.078E-2</v>
      </c>
      <c r="Q75" s="25">
        <v>1.1560000000000001E-2</v>
      </c>
      <c r="R75" s="25">
        <v>3.7200000000000002E-3</v>
      </c>
      <c r="S75" s="25">
        <v>2.3699999999999999E-2</v>
      </c>
      <c r="T75" s="25">
        <f t="shared" si="2"/>
        <v>2.35E-2</v>
      </c>
      <c r="U75" s="25">
        <f t="shared" si="3"/>
        <v>-2.2699999999999994E-3</v>
      </c>
    </row>
    <row r="76" spans="5:21">
      <c r="E76" s="421">
        <v>42460</v>
      </c>
      <c r="F76" s="25">
        <v>6.9099999999999995E-2</v>
      </c>
      <c r="G76" s="25">
        <v>1.29E-2</v>
      </c>
      <c r="H76" s="25">
        <v>5.5999999999999999E-3</v>
      </c>
      <c r="I76" s="25">
        <v>-2.7900000000000001E-2</v>
      </c>
      <c r="J76" s="25">
        <v>2.0000000000000001E-4</v>
      </c>
      <c r="L76" s="421">
        <v>42460</v>
      </c>
      <c r="M76" s="25">
        <v>2.1700000000000001E-2</v>
      </c>
      <c r="N76" s="25">
        <v>3.0259999999999999E-2</v>
      </c>
      <c r="O76" s="25">
        <v>4.07E-2</v>
      </c>
      <c r="P76" s="25">
        <v>3.8830000000000003E-2</v>
      </c>
      <c r="Q76" s="25">
        <v>5.7099999999999998E-2</v>
      </c>
      <c r="R76" s="25">
        <v>5.2819999999999999E-2</v>
      </c>
      <c r="S76" s="25">
        <v>1.7299999999999999E-2</v>
      </c>
      <c r="T76" s="25">
        <f t="shared" si="2"/>
        <v>1.7100000000000001E-2</v>
      </c>
      <c r="U76" s="25">
        <f t="shared" si="3"/>
        <v>2.256E-2</v>
      </c>
    </row>
    <row r="77" spans="5:21">
      <c r="E77" s="421">
        <v>42490</v>
      </c>
      <c r="F77" s="25">
        <v>1.9E-2</v>
      </c>
      <c r="G77" s="25">
        <v>9.9000000000000008E-3</v>
      </c>
      <c r="H77" s="25">
        <v>2.9899999999999999E-2</v>
      </c>
      <c r="I77" s="25">
        <v>-3.2399999999999998E-2</v>
      </c>
      <c r="J77" s="25">
        <v>1E-4</v>
      </c>
      <c r="L77" s="421">
        <v>42490</v>
      </c>
      <c r="M77" s="25">
        <v>8.5100000000000002E-3</v>
      </c>
      <c r="N77" s="25">
        <v>1.031E-2</v>
      </c>
      <c r="O77" s="25">
        <v>1.1339999999999999E-2</v>
      </c>
      <c r="P77" s="25">
        <v>1.413E-2</v>
      </c>
      <c r="Q77" s="25">
        <v>2.5930000000000002E-2</v>
      </c>
      <c r="R77" s="25">
        <v>3.6049999999999999E-2</v>
      </c>
      <c r="S77" s="25">
        <v>1.3390000000000001E-2</v>
      </c>
      <c r="T77" s="25">
        <f t="shared" si="2"/>
        <v>1.3290000000000001E-2</v>
      </c>
      <c r="U77" s="25">
        <f t="shared" si="3"/>
        <v>2.5739999999999999E-2</v>
      </c>
    </row>
    <row r="78" spans="5:21">
      <c r="E78" s="421">
        <v>42521</v>
      </c>
      <c r="F78" s="25">
        <v>4.4999999999999997E-3</v>
      </c>
      <c r="G78" s="25">
        <v>0</v>
      </c>
      <c r="H78" s="25">
        <v>-2.0400000000000001E-2</v>
      </c>
      <c r="I78" s="25">
        <v>2.8299999999999999E-2</v>
      </c>
      <c r="J78" s="25">
        <v>1E-4</v>
      </c>
      <c r="L78" s="421">
        <v>42521</v>
      </c>
      <c r="M78" s="25">
        <v>-9.7199999999999995E-3</v>
      </c>
      <c r="N78" s="25">
        <v>-1.064E-2</v>
      </c>
      <c r="O78" s="25">
        <v>-1.069E-2</v>
      </c>
      <c r="P78" s="25">
        <v>-6.8500000000000002E-3</v>
      </c>
      <c r="Q78" s="25">
        <v>-3.0999999999999999E-3</v>
      </c>
      <c r="R78" s="25">
        <v>3.6999999999999999E-4</v>
      </c>
      <c r="S78" s="25">
        <v>-1.6369999999999999E-2</v>
      </c>
      <c r="T78" s="25">
        <f t="shared" si="2"/>
        <v>-1.6469999999999999E-2</v>
      </c>
      <c r="U78" s="25">
        <f t="shared" si="3"/>
        <v>1.1010000000000001E-2</v>
      </c>
    </row>
    <row r="79" spans="5:21">
      <c r="E79" s="421">
        <v>42551</v>
      </c>
      <c r="F79" s="25">
        <v>-1.67E-2</v>
      </c>
      <c r="G79" s="25">
        <v>-4.7999999999999996E-3</v>
      </c>
      <c r="H79" s="25">
        <v>-7.1999999999999998E-3</v>
      </c>
      <c r="I79" s="25">
        <v>6.0199999999999997E-2</v>
      </c>
      <c r="J79" s="25">
        <v>2.0000000000000001E-4</v>
      </c>
      <c r="L79" s="421">
        <v>42551</v>
      </c>
      <c r="M79" s="25">
        <v>5.4000000000000003E-3</v>
      </c>
      <c r="N79" s="25">
        <v>9.5700000000000004E-3</v>
      </c>
      <c r="O79" s="25">
        <v>1.2200000000000001E-2</v>
      </c>
      <c r="P79" s="25">
        <v>1.7049999999999999E-2</v>
      </c>
      <c r="Q79" s="25">
        <v>3.1189999999999999E-2</v>
      </c>
      <c r="R79" s="25">
        <v>7.7499999999999999E-3</v>
      </c>
      <c r="S79" s="25">
        <v>2.6499999999999999E-2</v>
      </c>
      <c r="T79" s="25">
        <f t="shared" si="2"/>
        <v>2.63E-2</v>
      </c>
      <c r="U79" s="25">
        <f t="shared" si="3"/>
        <v>-1.8200000000000004E-3</v>
      </c>
    </row>
    <row r="80" spans="5:21">
      <c r="E80" s="421">
        <v>42582</v>
      </c>
      <c r="F80" s="25">
        <v>4.4900000000000002E-2</v>
      </c>
      <c r="G80" s="25">
        <v>1.34E-2</v>
      </c>
      <c r="H80" s="25">
        <v>3.0000000000000001E-3</v>
      </c>
      <c r="I80" s="25">
        <v>-1.7500000000000002E-2</v>
      </c>
      <c r="J80" s="25">
        <v>2.0000000000000001E-4</v>
      </c>
      <c r="L80" s="421">
        <v>42582</v>
      </c>
      <c r="M80" s="25">
        <v>3.96E-3</v>
      </c>
      <c r="N80" s="25">
        <v>9.0299999999999998E-3</v>
      </c>
      <c r="O80" s="25">
        <v>1.54E-2</v>
      </c>
      <c r="P80" s="25">
        <v>2.0570000000000001E-2</v>
      </c>
      <c r="Q80" s="25">
        <v>3.5299999999999998E-2</v>
      </c>
      <c r="R80" s="25">
        <v>2.5559999999999999E-2</v>
      </c>
      <c r="S80" s="25">
        <v>2.63E-3</v>
      </c>
      <c r="T80" s="25">
        <f t="shared" si="2"/>
        <v>2.4299999999999999E-3</v>
      </c>
      <c r="U80" s="25">
        <f t="shared" si="3"/>
        <v>1.653E-2</v>
      </c>
    </row>
    <row r="81" spans="5:21">
      <c r="E81" s="421">
        <v>42613</v>
      </c>
      <c r="F81" s="25">
        <v>3.0000000000000001E-3</v>
      </c>
      <c r="G81" s="25">
        <v>3.3999999999999998E-3</v>
      </c>
      <c r="H81" s="25">
        <v>2.23E-2</v>
      </c>
      <c r="I81" s="25">
        <v>-3.9100000000000003E-2</v>
      </c>
      <c r="J81" s="25">
        <v>2.0000000000000001E-4</v>
      </c>
      <c r="L81" s="421">
        <v>42613</v>
      </c>
      <c r="M81" s="25">
        <v>-1.2199999999999999E-3</v>
      </c>
      <c r="N81" s="25">
        <v>-4.6999999999999999E-4</v>
      </c>
      <c r="O81" s="25">
        <v>8.8999999999999995E-4</v>
      </c>
      <c r="P81" s="25">
        <v>2.8999999999999998E-3</v>
      </c>
      <c r="Q81" s="25">
        <v>8.6199999999999992E-3</v>
      </c>
      <c r="R81" s="25">
        <v>1.967E-2</v>
      </c>
      <c r="S81" s="25">
        <v>-7.1999999999999998E-3</v>
      </c>
      <c r="T81" s="25">
        <f t="shared" si="2"/>
        <v>-7.3999999999999995E-3</v>
      </c>
      <c r="U81" s="25">
        <f t="shared" si="3"/>
        <v>2.0140000000000002E-2</v>
      </c>
    </row>
    <row r="82" spans="5:21">
      <c r="E82" s="421">
        <v>42643</v>
      </c>
      <c r="F82" s="25">
        <v>8.8999999999999999E-3</v>
      </c>
      <c r="G82" s="25">
        <v>2.2499999999999999E-2</v>
      </c>
      <c r="H82" s="25">
        <v>-1.26E-2</v>
      </c>
      <c r="I82" s="25">
        <v>1.67E-2</v>
      </c>
      <c r="J82" s="25">
        <v>2.0000000000000001E-4</v>
      </c>
      <c r="L82" s="421">
        <v>42643</v>
      </c>
      <c r="M82" s="25">
        <v>3.63E-3</v>
      </c>
      <c r="N82" s="25">
        <v>3.8500000000000001E-3</v>
      </c>
      <c r="O82" s="25">
        <v>3.8999999999999998E-3</v>
      </c>
      <c r="P82" s="25">
        <v>2.5999999999999998E-4</v>
      </c>
      <c r="Q82" s="25">
        <v>-1.089E-2</v>
      </c>
      <c r="R82" s="25">
        <v>6.4999999999999997E-3</v>
      </c>
      <c r="S82" s="25">
        <v>9.5600000000000008E-3</v>
      </c>
      <c r="T82" s="25">
        <f t="shared" si="2"/>
        <v>9.3600000000000003E-3</v>
      </c>
      <c r="U82" s="25">
        <f t="shared" si="3"/>
        <v>2.6499999999999996E-3</v>
      </c>
    </row>
    <row r="83" spans="5:21">
      <c r="E83" s="421">
        <v>42674</v>
      </c>
      <c r="F83" s="25">
        <v>-1.8800000000000001E-2</v>
      </c>
      <c r="G83" s="25">
        <v>-1.5900000000000001E-2</v>
      </c>
      <c r="H83" s="25">
        <v>4.2599999999999999E-2</v>
      </c>
      <c r="I83" s="25">
        <v>-1.12E-2</v>
      </c>
      <c r="J83" s="25">
        <v>2.0000000000000001E-4</v>
      </c>
      <c r="L83" s="421">
        <v>42674</v>
      </c>
      <c r="M83" s="25">
        <v>-9.1699999999999993E-3</v>
      </c>
      <c r="N83" s="25">
        <v>-1.2619999999999999E-2</v>
      </c>
      <c r="O83" s="25">
        <v>-1.8110000000000001E-2</v>
      </c>
      <c r="P83" s="25">
        <v>-1.9449999999999999E-2</v>
      </c>
      <c r="Q83" s="25">
        <v>-3.3700000000000001E-2</v>
      </c>
      <c r="R83" s="25">
        <v>-1.8400000000000001E-3</v>
      </c>
      <c r="S83" s="25">
        <v>-2.4889999999999999E-2</v>
      </c>
      <c r="T83" s="25">
        <f t="shared" si="2"/>
        <v>-2.5089999999999998E-2</v>
      </c>
      <c r="U83" s="25">
        <f t="shared" si="3"/>
        <v>1.078E-2</v>
      </c>
    </row>
    <row r="84" spans="5:21">
      <c r="E84" s="421">
        <v>42704</v>
      </c>
      <c r="F84" s="25">
        <v>1.4E-2</v>
      </c>
      <c r="G84" s="25">
        <v>3.0000000000000001E-3</v>
      </c>
      <c r="H84" s="25">
        <v>4.3200000000000002E-2</v>
      </c>
      <c r="I84" s="25">
        <v>-4.3900000000000002E-2</v>
      </c>
      <c r="J84" s="25">
        <v>1E-4</v>
      </c>
      <c r="L84" s="421">
        <v>42704</v>
      </c>
      <c r="M84" s="25">
        <v>-1.272E-2</v>
      </c>
      <c r="N84" s="25">
        <v>-2.145E-2</v>
      </c>
      <c r="O84" s="25">
        <v>-2.9000000000000001E-2</v>
      </c>
      <c r="P84" s="25">
        <v>-3.7139999999999999E-2</v>
      </c>
      <c r="Q84" s="25">
        <v>-4.437E-2</v>
      </c>
      <c r="R84" s="25">
        <v>-1.072E-2</v>
      </c>
      <c r="S84" s="25">
        <v>-3.8030000000000001E-2</v>
      </c>
      <c r="T84" s="25">
        <f t="shared" si="2"/>
        <v>-3.8130000000000004E-2</v>
      </c>
      <c r="U84" s="25">
        <f t="shared" si="3"/>
        <v>1.073E-2</v>
      </c>
    </row>
    <row r="85" spans="5:21">
      <c r="E85" s="421">
        <v>42735</v>
      </c>
      <c r="F85" s="25">
        <v>2.2700000000000001E-2</v>
      </c>
      <c r="G85" s="25">
        <v>-4.4999999999999997E-3</v>
      </c>
      <c r="H85" s="25">
        <v>2.7400000000000001E-2</v>
      </c>
      <c r="I85" s="25">
        <v>-1.4999999999999999E-2</v>
      </c>
      <c r="J85" s="25">
        <v>2.9999999999999997E-4</v>
      </c>
      <c r="L85" s="421">
        <v>42735</v>
      </c>
      <c r="M85" s="25">
        <v>-1.1800000000000001E-3</v>
      </c>
      <c r="N85" s="25">
        <v>2.4000000000000001E-4</v>
      </c>
      <c r="O85" s="25">
        <v>2.0200000000000001E-3</v>
      </c>
      <c r="P85" s="25">
        <v>4.2700000000000004E-3</v>
      </c>
      <c r="Q85" s="25">
        <v>1.328E-2</v>
      </c>
      <c r="R85" s="25">
        <v>1.7340000000000001E-2</v>
      </c>
      <c r="S85" s="25">
        <v>-6.2700000000000004E-3</v>
      </c>
      <c r="T85" s="25">
        <f t="shared" si="2"/>
        <v>-6.5700000000000003E-3</v>
      </c>
      <c r="U85" s="25">
        <f t="shared" si="3"/>
        <v>1.7100000000000001E-2</v>
      </c>
    </row>
    <row r="86" spans="5:21">
      <c r="E86" s="421">
        <v>42766</v>
      </c>
      <c r="F86" s="25">
        <v>2.7199999999999998E-2</v>
      </c>
      <c r="G86" s="25">
        <v>4.5999999999999999E-3</v>
      </c>
      <c r="H86" s="25">
        <v>-5.7000000000000002E-3</v>
      </c>
      <c r="I86" s="25">
        <v>1.67E-2</v>
      </c>
      <c r="J86" s="25">
        <v>4.0000000000000002E-4</v>
      </c>
      <c r="L86" s="421">
        <v>42766</v>
      </c>
      <c r="M86" s="25">
        <v>1.124E-2</v>
      </c>
      <c r="N86" s="25">
        <v>1.238E-2</v>
      </c>
      <c r="O86" s="25">
        <v>1.235E-2</v>
      </c>
      <c r="P86" s="25">
        <v>7.45E-3</v>
      </c>
      <c r="Q86" s="25">
        <v>5.0299999999999997E-3</v>
      </c>
      <c r="R86" s="25">
        <v>1.848E-2</v>
      </c>
      <c r="S86" s="25">
        <v>1.4670000000000001E-2</v>
      </c>
      <c r="T86" s="25">
        <f t="shared" si="2"/>
        <v>1.4270000000000001E-2</v>
      </c>
      <c r="U86" s="25">
        <f t="shared" si="3"/>
        <v>6.0999999999999995E-3</v>
      </c>
    </row>
    <row r="87" spans="5:21">
      <c r="E87" s="421">
        <v>42794</v>
      </c>
      <c r="F87" s="25">
        <v>2.2800000000000001E-2</v>
      </c>
      <c r="G87" s="25">
        <v>-6.1999999999999998E-3</v>
      </c>
      <c r="H87" s="25">
        <v>-1.7399999999999999E-2</v>
      </c>
      <c r="I87" s="25">
        <v>-1.8599999999999998E-2</v>
      </c>
      <c r="J87" s="25">
        <v>4.0000000000000002E-4</v>
      </c>
      <c r="L87" s="421">
        <v>42794</v>
      </c>
      <c r="M87" s="25">
        <v>-8.8000000000000003E-4</v>
      </c>
      <c r="N87" s="25">
        <v>1.7899999999999999E-3</v>
      </c>
      <c r="O87" s="25">
        <v>4.4999999999999997E-3</v>
      </c>
      <c r="P87" s="25">
        <v>1.034E-2</v>
      </c>
      <c r="Q87" s="25">
        <v>1.8769999999999998E-2</v>
      </c>
      <c r="R87" s="25">
        <v>1.191E-2</v>
      </c>
      <c r="S87" s="25">
        <v>5.9999999999999995E-4</v>
      </c>
      <c r="T87" s="25">
        <f t="shared" si="2"/>
        <v>1.9999999999999993E-4</v>
      </c>
      <c r="U87" s="25">
        <f t="shared" si="3"/>
        <v>1.0120000000000001E-2</v>
      </c>
    </row>
    <row r="88" spans="5:21">
      <c r="E88" s="421">
        <v>42825</v>
      </c>
      <c r="F88" s="25">
        <v>1.4800000000000001E-2</v>
      </c>
      <c r="G88" s="25">
        <v>3.2000000000000002E-3</v>
      </c>
      <c r="H88" s="25">
        <v>-1.78E-2</v>
      </c>
      <c r="I88" s="25">
        <v>8.0000000000000004E-4</v>
      </c>
      <c r="J88" s="25">
        <v>2.9999999999999997E-4</v>
      </c>
      <c r="L88" s="421">
        <v>42825</v>
      </c>
      <c r="M88" s="25">
        <v>1.48E-3</v>
      </c>
      <c r="N88" s="25">
        <v>1.5100000000000001E-3</v>
      </c>
      <c r="O88" s="25">
        <v>1.5399999999999999E-3</v>
      </c>
      <c r="P88" s="25">
        <v>1.06E-3</v>
      </c>
      <c r="Q88" s="25">
        <v>-3.46E-3</v>
      </c>
      <c r="R88" s="25">
        <v>5.0000000000000002E-5</v>
      </c>
      <c r="S88" s="25">
        <v>1.92E-3</v>
      </c>
      <c r="T88" s="25">
        <f t="shared" si="2"/>
        <v>1.6200000000000001E-3</v>
      </c>
      <c r="U88" s="25">
        <f t="shared" si="3"/>
        <v>-1.4600000000000001E-3</v>
      </c>
    </row>
    <row r="89" spans="5:21">
      <c r="E89" s="421">
        <v>42855</v>
      </c>
      <c r="F89" s="25">
        <v>1.8599999999999998E-2</v>
      </c>
      <c r="G89" s="25">
        <v>3.7000000000000002E-3</v>
      </c>
      <c r="H89" s="25">
        <v>-1.38E-2</v>
      </c>
      <c r="I89" s="25">
        <v>-1E-4</v>
      </c>
      <c r="J89" s="25">
        <v>5.0000000000000001E-4</v>
      </c>
      <c r="L89" s="421">
        <v>42855</v>
      </c>
      <c r="M89" s="25">
        <v>6.0499999999999998E-3</v>
      </c>
      <c r="N89" s="25">
        <v>1.0460000000000001E-2</v>
      </c>
      <c r="O89" s="25">
        <v>1.55E-2</v>
      </c>
      <c r="P89" s="25">
        <v>1.7149999999999999E-2</v>
      </c>
      <c r="Q89" s="25">
        <v>1.873E-2</v>
      </c>
      <c r="R89" s="25">
        <v>1.559E-2</v>
      </c>
      <c r="S89" s="25">
        <v>9.1800000000000007E-3</v>
      </c>
      <c r="T89" s="25">
        <f t="shared" si="2"/>
        <v>8.6800000000000002E-3</v>
      </c>
      <c r="U89" s="25">
        <f t="shared" si="3"/>
        <v>5.1299999999999991E-3</v>
      </c>
    </row>
    <row r="90" spans="5:21">
      <c r="E90" s="421">
        <v>42886</v>
      </c>
      <c r="F90" s="25">
        <v>2.1999999999999999E-2</v>
      </c>
      <c r="G90" s="25">
        <v>-3.3E-3</v>
      </c>
      <c r="H90" s="25">
        <v>-2.6700000000000002E-2</v>
      </c>
      <c r="I90" s="25">
        <v>1.0999999999999999E-2</v>
      </c>
      <c r="J90" s="25">
        <v>5.9999999999999995E-4</v>
      </c>
      <c r="L90" s="421">
        <v>42886</v>
      </c>
      <c r="M90" s="25">
        <v>1.005E-2</v>
      </c>
      <c r="N90" s="25">
        <v>1.4930000000000001E-2</v>
      </c>
      <c r="O90" s="25">
        <v>1.9E-2</v>
      </c>
      <c r="P90" s="25">
        <v>1.9199999999999998E-2</v>
      </c>
      <c r="Q90" s="25">
        <v>2.2870000000000001E-2</v>
      </c>
      <c r="R90" s="25">
        <v>1.239E-2</v>
      </c>
      <c r="S90" s="25">
        <v>1.2760000000000001E-2</v>
      </c>
      <c r="T90" s="25">
        <f t="shared" si="2"/>
        <v>1.2160000000000001E-2</v>
      </c>
      <c r="U90" s="25">
        <f t="shared" si="3"/>
        <v>-2.5400000000000006E-3</v>
      </c>
    </row>
    <row r="91" spans="5:21">
      <c r="E91" s="421">
        <v>42916</v>
      </c>
      <c r="F91" s="25">
        <v>6.0000000000000001E-3</v>
      </c>
      <c r="G91" s="25">
        <v>1.6799999999999999E-2</v>
      </c>
      <c r="H91" s="25">
        <v>1.55E-2</v>
      </c>
      <c r="I91" s="25">
        <v>5.4999999999999997E-3</v>
      </c>
      <c r="J91" s="25">
        <v>5.9999999999999995E-4</v>
      </c>
      <c r="L91" s="421">
        <v>42916</v>
      </c>
      <c r="M91" s="25">
        <v>4.6899999999999997E-3</v>
      </c>
      <c r="N91" s="25">
        <v>3.8700000000000002E-3</v>
      </c>
      <c r="O91" s="25">
        <v>3.0000000000000001E-3</v>
      </c>
      <c r="P91" s="25">
        <v>1.2999999999999999E-3</v>
      </c>
      <c r="Q91" s="25">
        <v>7.26E-3</v>
      </c>
      <c r="R91" s="25">
        <v>3.1900000000000001E-3</v>
      </c>
      <c r="S91" s="25">
        <v>-2.47E-3</v>
      </c>
      <c r="T91" s="25">
        <f t="shared" si="2"/>
        <v>-3.0699999999999998E-3</v>
      </c>
      <c r="U91" s="25">
        <f t="shared" si="3"/>
        <v>-6.8000000000000005E-4</v>
      </c>
    </row>
    <row r="92" spans="5:21">
      <c r="E92" s="421">
        <v>42947</v>
      </c>
      <c r="F92" s="25">
        <v>2.5100000000000001E-2</v>
      </c>
      <c r="G92" s="25">
        <v>-1E-3</v>
      </c>
      <c r="H92" s="25">
        <v>1.18E-2</v>
      </c>
      <c r="I92" s="25">
        <v>1.7399999999999999E-2</v>
      </c>
      <c r="J92" s="25">
        <v>6.9999999999999999E-4</v>
      </c>
      <c r="L92" s="421">
        <v>42947</v>
      </c>
      <c r="M92" s="25">
        <v>1.4540000000000001E-2</v>
      </c>
      <c r="N92" s="25">
        <v>1.8610000000000002E-2</v>
      </c>
      <c r="O92" s="25">
        <v>2.1860000000000001E-2</v>
      </c>
      <c r="P92" s="25">
        <v>2.0490000000000001E-2</v>
      </c>
      <c r="Q92" s="25">
        <v>1.239E-2</v>
      </c>
      <c r="R92" s="25">
        <v>1.66E-2</v>
      </c>
      <c r="S92" s="25">
        <v>1.6899999999999998E-2</v>
      </c>
      <c r="T92" s="25">
        <f t="shared" si="2"/>
        <v>1.6199999999999999E-2</v>
      </c>
      <c r="U92" s="25">
        <f t="shared" si="3"/>
        <v>-2.0100000000000014E-3</v>
      </c>
    </row>
    <row r="93" spans="5:21">
      <c r="E93" s="421">
        <v>42978</v>
      </c>
      <c r="F93" s="25">
        <v>1.2999999999999999E-3</v>
      </c>
      <c r="G93" s="25">
        <v>-1.5E-3</v>
      </c>
      <c r="H93" s="25">
        <v>-1.3100000000000001E-2</v>
      </c>
      <c r="I93" s="25">
        <v>2.0299999999999999E-2</v>
      </c>
      <c r="J93" s="25">
        <v>8.9999999999999998E-4</v>
      </c>
      <c r="L93" s="421">
        <v>42978</v>
      </c>
      <c r="M93" s="25">
        <v>3.0500000000000002E-3</v>
      </c>
      <c r="N93" s="25">
        <v>5.94E-3</v>
      </c>
      <c r="O93" s="25">
        <v>8.9999999999999993E-3</v>
      </c>
      <c r="P93" s="25">
        <v>1.14E-2</v>
      </c>
      <c r="Q93" s="25">
        <v>1.4409999999999999E-2</v>
      </c>
      <c r="R93" s="25">
        <v>3.3899999999999998E-3</v>
      </c>
      <c r="S93" s="25">
        <v>7.1500000000000001E-3</v>
      </c>
      <c r="T93" s="25">
        <f t="shared" si="2"/>
        <v>6.2500000000000003E-3</v>
      </c>
      <c r="U93" s="25">
        <f t="shared" si="3"/>
        <v>-2.5500000000000002E-3</v>
      </c>
    </row>
    <row r="94" spans="5:21">
      <c r="E94" s="421">
        <v>43008</v>
      </c>
      <c r="F94" s="25">
        <v>2.3E-2</v>
      </c>
      <c r="G94" s="25">
        <v>1.2699999999999999E-2</v>
      </c>
      <c r="H94" s="25">
        <v>1.61E-2</v>
      </c>
      <c r="I94" s="25">
        <v>2.9999999999999997E-4</v>
      </c>
      <c r="J94" s="25">
        <v>8.9999999999999998E-4</v>
      </c>
      <c r="L94" s="421">
        <v>43008</v>
      </c>
      <c r="M94" s="25">
        <v>-1.17E-3</v>
      </c>
      <c r="N94" s="25">
        <v>-2.5699999999999998E-3</v>
      </c>
      <c r="O94" s="25">
        <v>-3.8700000000000002E-3</v>
      </c>
      <c r="P94" s="25">
        <v>-5.2700000000000004E-3</v>
      </c>
      <c r="Q94" s="25">
        <v>-2.7799999999999999E-3</v>
      </c>
      <c r="R94" s="25">
        <v>8.4700000000000001E-3</v>
      </c>
      <c r="S94" s="25">
        <v>-9.8399999999999998E-3</v>
      </c>
      <c r="T94" s="25">
        <f t="shared" si="2"/>
        <v>-1.074E-2</v>
      </c>
      <c r="U94" s="25">
        <f t="shared" si="3"/>
        <v>1.1039999999999999E-2</v>
      </c>
    </row>
    <row r="95" spans="5:21">
      <c r="E95" s="421">
        <v>43039</v>
      </c>
      <c r="F95" s="25">
        <v>1.7999999999999999E-2</v>
      </c>
      <c r="G95" s="25">
        <v>-8.6999999999999994E-3</v>
      </c>
      <c r="H95" s="25">
        <v>-9.2999999999999992E-3</v>
      </c>
      <c r="I95" s="25">
        <v>3.4599999999999999E-2</v>
      </c>
      <c r="J95" s="25">
        <v>8.9999999999999998E-4</v>
      </c>
      <c r="L95" s="421">
        <v>43039</v>
      </c>
      <c r="M95" s="25">
        <v>-4.3299999999999996E-3</v>
      </c>
      <c r="N95" s="25">
        <v>-2.81E-3</v>
      </c>
      <c r="O95" s="25">
        <v>-4.0999999999999999E-4</v>
      </c>
      <c r="P95" s="25">
        <v>3.3500000000000001E-3</v>
      </c>
      <c r="Q95" s="25">
        <v>6.8300000000000001E-3</v>
      </c>
      <c r="R95" s="25">
        <v>3.0899999999999999E-3</v>
      </c>
      <c r="S95" s="25">
        <v>-6.1399999999999996E-3</v>
      </c>
      <c r="T95" s="25">
        <f t="shared" si="2"/>
        <v>-7.0399999999999994E-3</v>
      </c>
      <c r="U95" s="25">
        <f t="shared" si="3"/>
        <v>5.8999999999999999E-3</v>
      </c>
    </row>
    <row r="96" spans="5:21">
      <c r="E96" s="421">
        <v>43069</v>
      </c>
      <c r="F96" s="25">
        <v>1.9300000000000001E-2</v>
      </c>
      <c r="G96" s="25">
        <v>-6.1000000000000004E-3</v>
      </c>
      <c r="H96" s="25">
        <v>-2.7000000000000001E-3</v>
      </c>
      <c r="I96" s="25">
        <v>5.1999999999999998E-3</v>
      </c>
      <c r="J96" s="25">
        <v>8.0000000000000004E-4</v>
      </c>
      <c r="L96" s="421">
        <v>43069</v>
      </c>
      <c r="M96" s="25">
        <v>5.13E-3</v>
      </c>
      <c r="N96" s="25">
        <v>5.3600000000000002E-3</v>
      </c>
      <c r="O96" s="25">
        <v>6.5700000000000003E-3</v>
      </c>
      <c r="P96" s="25">
        <v>5.3400000000000001E-3</v>
      </c>
      <c r="Q96" s="25">
        <v>6.3600000000000002E-3</v>
      </c>
      <c r="R96" s="25">
        <v>1.0399999999999999E-3</v>
      </c>
      <c r="S96" s="25">
        <v>1.021E-2</v>
      </c>
      <c r="T96" s="25">
        <f t="shared" si="2"/>
        <v>9.41E-3</v>
      </c>
      <c r="U96" s="25">
        <f t="shared" si="3"/>
        <v>-4.3200000000000001E-3</v>
      </c>
    </row>
    <row r="97" spans="5:21">
      <c r="E97" s="421">
        <v>43100</v>
      </c>
      <c r="F97" s="25">
        <v>1.38E-2</v>
      </c>
      <c r="G97" s="25">
        <v>8.9999999999999993E-3</v>
      </c>
      <c r="H97" s="25">
        <v>2.2000000000000001E-3</v>
      </c>
      <c r="I97" s="25">
        <v>-1.0800000000000001E-2</v>
      </c>
      <c r="J97" s="25">
        <v>8.9999999999999998E-4</v>
      </c>
      <c r="L97" s="421">
        <v>43100</v>
      </c>
      <c r="M97" s="25">
        <v>3.47E-3</v>
      </c>
      <c r="N97" s="25">
        <v>3.4499999999999999E-3</v>
      </c>
      <c r="O97" s="25">
        <v>4.1700000000000001E-3</v>
      </c>
      <c r="P97" s="25">
        <v>5.4599999999999996E-3</v>
      </c>
      <c r="Q97" s="25">
        <v>2.0080000000000001E-2</v>
      </c>
      <c r="R97" s="25">
        <v>3.5300000000000002E-3</v>
      </c>
      <c r="S97" s="25">
        <v>-2.2000000000000001E-4</v>
      </c>
      <c r="T97" s="25">
        <f t="shared" si="2"/>
        <v>-1.1199999999999999E-3</v>
      </c>
      <c r="U97" s="25">
        <f t="shared" si="3"/>
        <v>8.000000000000021E-5</v>
      </c>
    </row>
    <row r="98" spans="5:21">
      <c r="E98" s="421">
        <v>43131</v>
      </c>
      <c r="F98" s="25">
        <v>5.1499999999999997E-2</v>
      </c>
      <c r="G98" s="25">
        <v>-1.01E-2</v>
      </c>
      <c r="H98" s="25">
        <v>-1.37E-2</v>
      </c>
      <c r="I98" s="25">
        <v>3.2099999999999997E-2</v>
      </c>
      <c r="J98" s="25">
        <v>1.1000000000000001E-3</v>
      </c>
      <c r="L98" s="421">
        <v>43131</v>
      </c>
      <c r="M98" s="25">
        <v>1.226E-2</v>
      </c>
      <c r="N98" s="25">
        <v>1.038E-2</v>
      </c>
      <c r="O98" s="25">
        <v>9.7999999999999997E-3</v>
      </c>
      <c r="P98" s="25">
        <v>2.8600000000000001E-3</v>
      </c>
      <c r="Q98" s="25">
        <v>-3.0500000000000002E-3</v>
      </c>
      <c r="R98" s="25">
        <v>1.396E-2</v>
      </c>
      <c r="S98" s="25">
        <v>1.542E-2</v>
      </c>
      <c r="T98" s="25">
        <f t="shared" si="2"/>
        <v>1.4319999999999999E-2</v>
      </c>
      <c r="U98" s="25">
        <f t="shared" si="3"/>
        <v>3.5799999999999998E-3</v>
      </c>
    </row>
    <row r="99" spans="5:21">
      <c r="E99" s="421">
        <v>43159</v>
      </c>
      <c r="F99" s="25">
        <v>-0.04</v>
      </c>
      <c r="G99" s="25">
        <v>8.3000000000000001E-3</v>
      </c>
      <c r="H99" s="25">
        <v>-1.7399999999999999E-2</v>
      </c>
      <c r="I99" s="25">
        <v>2.4500000000000001E-2</v>
      </c>
      <c r="J99" s="25">
        <v>1.1000000000000001E-3</v>
      </c>
      <c r="L99" s="421">
        <v>43159</v>
      </c>
      <c r="M99" s="25">
        <v>-8.8599999999999998E-3</v>
      </c>
      <c r="N99" s="25">
        <v>-1.227E-2</v>
      </c>
      <c r="O99" s="25">
        <v>-1.507E-2</v>
      </c>
      <c r="P99" s="25">
        <v>-1.8120000000000001E-2</v>
      </c>
      <c r="Q99" s="25">
        <v>-3.2800000000000003E-2</v>
      </c>
      <c r="R99" s="25">
        <v>-1.316E-2</v>
      </c>
      <c r="S99" s="25">
        <v>-3.2299999999999998E-3</v>
      </c>
      <c r="T99" s="25">
        <f t="shared" si="2"/>
        <v>-4.3299999999999996E-3</v>
      </c>
      <c r="U99" s="25">
        <f t="shared" si="3"/>
        <v>-8.9000000000000017E-4</v>
      </c>
    </row>
    <row r="100" spans="5:21">
      <c r="E100" s="421">
        <v>43190</v>
      </c>
      <c r="F100" s="25">
        <v>-1.7600000000000001E-2</v>
      </c>
      <c r="G100" s="25">
        <v>1.1900000000000001E-2</v>
      </c>
      <c r="H100" s="25">
        <v>-4.7000000000000002E-3</v>
      </c>
      <c r="I100" s="25">
        <v>-1.09E-2</v>
      </c>
      <c r="J100" s="25">
        <v>1.1999999999999999E-3</v>
      </c>
      <c r="L100" s="421">
        <v>43190</v>
      </c>
      <c r="M100" s="25">
        <v>2.2899999999999999E-3</v>
      </c>
      <c r="N100" s="25">
        <v>2.6900000000000001E-3</v>
      </c>
      <c r="O100" s="25">
        <v>3.4199999999999999E-3</v>
      </c>
      <c r="P100" s="25">
        <v>3.3800000000000002E-3</v>
      </c>
      <c r="Q100" s="25">
        <v>8.7600000000000004E-3</v>
      </c>
      <c r="R100" s="25">
        <v>-2.8E-3</v>
      </c>
      <c r="S100" s="25">
        <v>8.4600000000000005E-3</v>
      </c>
      <c r="T100" s="25">
        <f t="shared" si="2"/>
        <v>7.2600000000000008E-3</v>
      </c>
      <c r="U100" s="25">
        <f t="shared" si="3"/>
        <v>-5.4900000000000001E-3</v>
      </c>
    </row>
    <row r="101" spans="5:21">
      <c r="E101" s="421">
        <v>43220</v>
      </c>
      <c r="F101" s="25">
        <v>9.2999999999999992E-3</v>
      </c>
      <c r="G101" s="25">
        <v>-6.4999999999999997E-3</v>
      </c>
      <c r="H101" s="25">
        <v>1.8200000000000001E-2</v>
      </c>
      <c r="I101" s="25">
        <v>-4.8999999999999998E-3</v>
      </c>
      <c r="J101" s="25">
        <v>1.4E-3</v>
      </c>
      <c r="L101" s="421">
        <v>43220</v>
      </c>
      <c r="M101" s="25">
        <v>-5.3099999999999996E-3</v>
      </c>
      <c r="N101" s="25">
        <v>-7.9500000000000005E-3</v>
      </c>
      <c r="O101" s="25">
        <v>-1.1209999999999999E-2</v>
      </c>
      <c r="P101" s="25">
        <v>-1.248E-2</v>
      </c>
      <c r="Q101" s="25">
        <v>-1.8380000000000001E-2</v>
      </c>
      <c r="R101" s="25">
        <v>3.4000000000000002E-4</v>
      </c>
      <c r="S101" s="25">
        <v>-1.6109999999999999E-2</v>
      </c>
      <c r="T101" s="25">
        <f t="shared" si="2"/>
        <v>-1.7509999999999998E-2</v>
      </c>
      <c r="U101" s="25">
        <f t="shared" si="3"/>
        <v>8.2900000000000005E-3</v>
      </c>
    </row>
    <row r="102" spans="5:21">
      <c r="E102" s="421">
        <v>43251</v>
      </c>
      <c r="F102" s="25">
        <v>4.8999999999999998E-3</v>
      </c>
      <c r="G102" s="25">
        <v>1.8800000000000001E-2</v>
      </c>
      <c r="H102" s="25">
        <v>-4.4499999999999998E-2</v>
      </c>
      <c r="I102" s="25">
        <v>3.0700000000000002E-2</v>
      </c>
      <c r="J102" s="25">
        <v>1.4E-3</v>
      </c>
      <c r="L102" s="421">
        <v>43251</v>
      </c>
      <c r="M102" s="25">
        <v>-7.77E-3</v>
      </c>
      <c r="N102" s="25">
        <v>-9.5399999999999999E-3</v>
      </c>
      <c r="O102" s="25">
        <v>-1.1990000000000001E-2</v>
      </c>
      <c r="P102" s="25">
        <v>-9.2099999999999994E-3</v>
      </c>
      <c r="Q102" s="25">
        <v>-3.1900000000000001E-3</v>
      </c>
      <c r="R102" s="25">
        <v>-1.206E-2</v>
      </c>
      <c r="S102" s="25">
        <v>-8.8100000000000001E-3</v>
      </c>
      <c r="T102" s="25">
        <f t="shared" si="2"/>
        <v>-1.021E-2</v>
      </c>
      <c r="U102" s="25">
        <f t="shared" si="3"/>
        <v>-2.5199999999999997E-3</v>
      </c>
    </row>
    <row r="103" spans="5:21">
      <c r="E103" s="421">
        <v>43281</v>
      </c>
      <c r="F103" s="25">
        <v>-4.8999999999999998E-3</v>
      </c>
      <c r="G103" s="25">
        <v>-7.0000000000000001E-3</v>
      </c>
      <c r="H103" s="25">
        <v>-1.32E-2</v>
      </c>
      <c r="I103" s="25">
        <v>-1.29E-2</v>
      </c>
      <c r="J103" s="25">
        <v>1.4E-3</v>
      </c>
      <c r="L103" s="421">
        <v>43281</v>
      </c>
      <c r="M103" s="25">
        <v>-1.56E-3</v>
      </c>
      <c r="N103" s="25">
        <v>-2.4399999999999999E-3</v>
      </c>
      <c r="O103" s="25">
        <v>-2.7100000000000002E-3</v>
      </c>
      <c r="P103" s="25">
        <v>-3.5300000000000002E-3</v>
      </c>
      <c r="Q103" s="25">
        <v>-1.197E-2</v>
      </c>
      <c r="R103" s="25">
        <v>-1.1900000000000001E-3</v>
      </c>
      <c r="S103" s="25">
        <v>-4.13E-3</v>
      </c>
      <c r="T103" s="25">
        <f t="shared" si="2"/>
        <v>-5.5300000000000002E-3</v>
      </c>
      <c r="U103" s="25">
        <f t="shared" si="3"/>
        <v>1.2499999999999998E-3</v>
      </c>
    </row>
    <row r="104" spans="5:21">
      <c r="E104" s="421">
        <v>43312</v>
      </c>
      <c r="F104" s="25">
        <v>2.53E-2</v>
      </c>
      <c r="G104" s="25">
        <v>-2.5600000000000001E-2</v>
      </c>
      <c r="H104" s="25">
        <v>1.0200000000000001E-2</v>
      </c>
      <c r="I104" s="25">
        <v>-1.6E-2</v>
      </c>
      <c r="J104" s="25">
        <v>1.6000000000000001E-3</v>
      </c>
      <c r="L104" s="421">
        <v>43312</v>
      </c>
      <c r="M104" s="25">
        <v>2.3800000000000002E-3</v>
      </c>
      <c r="N104" s="25">
        <v>3.2499999999999999E-3</v>
      </c>
      <c r="O104" s="25">
        <v>4.7499999999999999E-3</v>
      </c>
      <c r="P104" s="25">
        <v>6.8300000000000001E-3</v>
      </c>
      <c r="Q104" s="25">
        <v>1.0829999999999999E-2</v>
      </c>
      <c r="R104" s="25">
        <v>1.387E-2</v>
      </c>
      <c r="S104" s="25">
        <v>-3.7100000000000002E-3</v>
      </c>
      <c r="T104" s="25">
        <f t="shared" si="2"/>
        <v>-5.3100000000000005E-3</v>
      </c>
      <c r="U104" s="25">
        <f t="shared" si="3"/>
        <v>1.0620000000000001E-2</v>
      </c>
    </row>
    <row r="105" spans="5:21">
      <c r="E105" s="421">
        <v>43343</v>
      </c>
      <c r="F105" s="25">
        <v>8.6999999999999994E-3</v>
      </c>
      <c r="G105" s="25">
        <v>-3.8E-3</v>
      </c>
      <c r="H105" s="25">
        <v>-4.0899999999999999E-2</v>
      </c>
      <c r="I105" s="25">
        <v>3.4799999999999998E-2</v>
      </c>
      <c r="J105" s="25">
        <v>1.6000000000000001E-3</v>
      </c>
      <c r="L105" s="421">
        <v>43343</v>
      </c>
      <c r="M105" s="25">
        <v>9.8999999999999999E-4</v>
      </c>
      <c r="N105" s="25">
        <v>1.8799999999999999E-3</v>
      </c>
      <c r="O105" s="25">
        <v>2.2000000000000001E-3</v>
      </c>
      <c r="P105" s="25">
        <v>2.8E-3</v>
      </c>
      <c r="Q105" s="25">
        <v>3.7000000000000002E-3</v>
      </c>
      <c r="R105" s="25">
        <v>-1.8E-3</v>
      </c>
      <c r="S105" s="25">
        <v>9.7000000000000005E-4</v>
      </c>
      <c r="T105" s="25">
        <f t="shared" si="2"/>
        <v>-6.3000000000000003E-4</v>
      </c>
      <c r="U105" s="25">
        <f t="shared" si="3"/>
        <v>-3.6800000000000001E-3</v>
      </c>
    </row>
    <row r="106" spans="5:21">
      <c r="E106" s="421">
        <v>43373</v>
      </c>
      <c r="F106" s="25">
        <v>3.2000000000000002E-3</v>
      </c>
      <c r="G106" s="25">
        <v>-1.4999999999999999E-2</v>
      </c>
      <c r="H106" s="25">
        <v>3.0999999999999999E-3</v>
      </c>
      <c r="I106" s="25">
        <v>6.0000000000000001E-3</v>
      </c>
      <c r="J106" s="25">
        <v>1.5E-3</v>
      </c>
      <c r="L106" s="421">
        <v>43373</v>
      </c>
      <c r="M106" s="25">
        <v>-5.0000000000000002E-5</v>
      </c>
      <c r="N106" s="25">
        <v>-2.2300000000000002E-3</v>
      </c>
      <c r="O106" s="25">
        <v>-3.9399999999999999E-3</v>
      </c>
      <c r="P106" s="25">
        <v>-5.5399999999999998E-3</v>
      </c>
      <c r="Q106" s="25">
        <v>-7.4999999999999997E-3</v>
      </c>
      <c r="R106" s="25">
        <v>8.1600000000000006E-3</v>
      </c>
      <c r="S106" s="25">
        <v>-8.9099999999999995E-3</v>
      </c>
      <c r="T106" s="25">
        <f t="shared" si="2"/>
        <v>-1.0409999999999999E-2</v>
      </c>
      <c r="U106" s="25">
        <f t="shared" si="3"/>
        <v>1.039E-2</v>
      </c>
    </row>
    <row r="107" spans="5:21">
      <c r="E107" s="421">
        <v>43404</v>
      </c>
      <c r="F107" s="25">
        <v>-8.1900000000000001E-2</v>
      </c>
      <c r="G107" s="25">
        <v>-2.5100000000000001E-2</v>
      </c>
      <c r="H107" s="25">
        <v>2.3900000000000001E-2</v>
      </c>
      <c r="I107" s="25">
        <v>-2.4799999999999999E-2</v>
      </c>
      <c r="J107" s="25">
        <v>1.9E-3</v>
      </c>
      <c r="L107" s="421">
        <v>43404</v>
      </c>
      <c r="M107" s="25">
        <v>-7.4099999999999999E-3</v>
      </c>
      <c r="N107" s="25">
        <v>-1.065E-2</v>
      </c>
      <c r="O107" s="25">
        <v>-1.3849999999999999E-2</v>
      </c>
      <c r="P107" s="25">
        <v>-1.609E-2</v>
      </c>
      <c r="Q107" s="25">
        <v>-3.1629999999999998E-2</v>
      </c>
      <c r="R107" s="25">
        <v>-1.7469999999999999E-2</v>
      </c>
      <c r="S107" s="25">
        <v>-5.5500000000000002E-3</v>
      </c>
      <c r="T107" s="25">
        <f t="shared" si="2"/>
        <v>-7.45E-3</v>
      </c>
      <c r="U107" s="25">
        <f t="shared" si="3"/>
        <v>-6.8199999999999997E-3</v>
      </c>
    </row>
    <row r="108" spans="5:21">
      <c r="E108" s="421">
        <v>43434</v>
      </c>
      <c r="F108" s="25">
        <v>8.8000000000000005E-3</v>
      </c>
      <c r="G108" s="25">
        <v>-5.7000000000000002E-3</v>
      </c>
      <c r="H108" s="25">
        <v>-1.32E-2</v>
      </c>
      <c r="I108" s="25">
        <v>-1.5299999999999999E-2</v>
      </c>
      <c r="J108" s="25">
        <v>1.8E-3</v>
      </c>
      <c r="L108" s="421">
        <v>43434</v>
      </c>
      <c r="M108" s="25">
        <v>-7.2999999999999996E-4</v>
      </c>
      <c r="N108" s="25">
        <v>-2.1199999999999999E-3</v>
      </c>
      <c r="O108" s="25">
        <v>-3.3899999999999998E-3</v>
      </c>
      <c r="P108" s="25">
        <v>-3.1700000000000001E-3</v>
      </c>
      <c r="Q108" s="25">
        <v>-9.1999999999999998E-3</v>
      </c>
      <c r="R108" s="25">
        <v>-1.013E-2</v>
      </c>
      <c r="S108" s="25">
        <v>3.3800000000000002E-3</v>
      </c>
      <c r="T108" s="25">
        <f t="shared" si="2"/>
        <v>1.5800000000000002E-3</v>
      </c>
      <c r="U108" s="25">
        <f t="shared" si="3"/>
        <v>-8.0099999999999998E-3</v>
      </c>
    </row>
    <row r="109" spans="5:21">
      <c r="E109" s="421">
        <v>43465</v>
      </c>
      <c r="F109" s="25">
        <v>-7.6799999999999993E-2</v>
      </c>
      <c r="G109" s="25">
        <v>-1.01E-2</v>
      </c>
      <c r="H109" s="25">
        <v>7.0000000000000001E-3</v>
      </c>
      <c r="I109" s="25">
        <v>1.4999999999999999E-2</v>
      </c>
      <c r="J109" s="25">
        <v>1.9E-3</v>
      </c>
      <c r="L109" s="421">
        <v>43465</v>
      </c>
      <c r="M109" s="25">
        <v>6.5300000000000002E-3</v>
      </c>
      <c r="N109" s="25">
        <v>9.1400000000000006E-3</v>
      </c>
      <c r="O109" s="25">
        <v>1.081E-2</v>
      </c>
      <c r="P109" s="25">
        <v>1.359E-2</v>
      </c>
      <c r="Q109" s="25">
        <v>2.2509999999999999E-2</v>
      </c>
      <c r="R109" s="25">
        <v>-1.11E-2</v>
      </c>
      <c r="S109" s="25">
        <v>1.951E-2</v>
      </c>
      <c r="T109" s="25">
        <f t="shared" si="2"/>
        <v>1.7610000000000001E-2</v>
      </c>
      <c r="U109" s="25">
        <f t="shared" si="3"/>
        <v>-2.0240000000000001E-2</v>
      </c>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1:FF125"/>
  <sheetViews>
    <sheetView workbookViewId="0">
      <selection activeCell="H35" sqref="H35"/>
    </sheetView>
  </sheetViews>
  <sheetFormatPr baseColWidth="10" defaultRowHeight="15"/>
  <cols>
    <col min="24" max="24" width="12.28515625" bestFit="1" customWidth="1"/>
  </cols>
  <sheetData>
    <row r="1" spans="5:162">
      <c r="E1" s="24" t="s">
        <v>265</v>
      </c>
      <c r="F1" s="24" t="s">
        <v>19</v>
      </c>
      <c r="G1" s="24" t="s">
        <v>23</v>
      </c>
      <c r="H1" s="24" t="s">
        <v>24</v>
      </c>
      <c r="I1" s="24" t="s">
        <v>20</v>
      </c>
      <c r="J1" s="24" t="s">
        <v>25</v>
      </c>
      <c r="K1" s="24" t="s">
        <v>26</v>
      </c>
      <c r="L1" s="24" t="s">
        <v>27</v>
      </c>
      <c r="M1" s="24" t="s">
        <v>18</v>
      </c>
      <c r="N1" s="24" t="s">
        <v>28</v>
      </c>
      <c r="O1" s="24"/>
      <c r="P1" s="24" t="s">
        <v>265</v>
      </c>
      <c r="Q1" s="261" t="s">
        <v>241</v>
      </c>
      <c r="R1" s="261" t="s">
        <v>242</v>
      </c>
      <c r="S1" s="24"/>
      <c r="T1" s="24" t="s">
        <v>265</v>
      </c>
      <c r="U1" s="24" t="s">
        <v>140</v>
      </c>
      <c r="V1" s="286" t="s">
        <v>152</v>
      </c>
      <c r="W1" s="24" t="s">
        <v>141</v>
      </c>
      <c r="X1" s="24" t="s">
        <v>185</v>
      </c>
      <c r="Y1" s="24" t="s">
        <v>138</v>
      </c>
      <c r="Z1" s="24" t="s">
        <v>286</v>
      </c>
      <c r="AA1" s="24" t="s">
        <v>139</v>
      </c>
      <c r="AB1" s="24" t="s">
        <v>142</v>
      </c>
      <c r="AC1" s="24" t="s">
        <v>151</v>
      </c>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5"/>
      <c r="DX1" s="2"/>
      <c r="DY1" s="5"/>
      <c r="DZ1" s="2"/>
      <c r="EA1" s="5"/>
      <c r="EB1" s="2"/>
      <c r="EC1" s="5"/>
      <c r="ED1" s="2"/>
      <c r="EE1" s="5"/>
      <c r="EF1" s="2"/>
      <c r="EG1" s="5"/>
      <c r="EH1" s="2"/>
      <c r="EI1" s="5"/>
      <c r="EJ1" s="2"/>
      <c r="EK1" s="5"/>
      <c r="EL1" s="2"/>
      <c r="EM1" s="5"/>
      <c r="EN1" s="2"/>
      <c r="EO1" s="5"/>
      <c r="EP1" s="2"/>
      <c r="EQ1" s="5"/>
      <c r="ER1" s="2"/>
      <c r="ES1" s="5"/>
      <c r="ET1" s="2"/>
      <c r="EU1" s="5"/>
      <c r="EV1" s="2"/>
      <c r="EW1" s="5"/>
      <c r="EX1" s="2"/>
      <c r="EY1" s="5"/>
      <c r="EZ1" s="2"/>
      <c r="FA1" s="5"/>
      <c r="FB1" s="2"/>
      <c r="FC1" s="5"/>
      <c r="FD1" s="2"/>
      <c r="FE1" s="5"/>
      <c r="FF1" s="2"/>
    </row>
    <row r="2" spans="5:162">
      <c r="E2" s="421">
        <v>40209</v>
      </c>
      <c r="F2" s="25">
        <v>1.7791025340557098E-2</v>
      </c>
      <c r="G2" s="25">
        <v>-0.12015439569950104</v>
      </c>
      <c r="H2" s="25">
        <v>-2.9372639954090118E-2</v>
      </c>
      <c r="I2" s="25">
        <v>-0.11586199700832367</v>
      </c>
      <c r="J2" s="25">
        <v>-7.6307445764541626E-2</v>
      </c>
      <c r="K2" s="25">
        <v>2.5934202596545219E-2</v>
      </c>
      <c r="L2" s="25">
        <v>-0.1218053326010704</v>
      </c>
      <c r="M2" s="25">
        <v>-6.5011471509933472E-2</v>
      </c>
      <c r="N2" s="25">
        <v>-2.4064585566520691E-2</v>
      </c>
      <c r="O2" s="25"/>
      <c r="P2" s="421">
        <v>40209</v>
      </c>
      <c r="Q2" s="25">
        <v>3.8100627151412159E-2</v>
      </c>
      <c r="R2" s="25">
        <v>-6.4581987875250713E-3</v>
      </c>
      <c r="S2" s="6"/>
      <c r="T2" s="421">
        <v>40209</v>
      </c>
      <c r="U2" s="25">
        <v>-4.2012549999999996E-2</v>
      </c>
      <c r="V2" s="287">
        <v>-0.12007130000000001</v>
      </c>
      <c r="W2" s="25">
        <v>-2.9148489999999999E-2</v>
      </c>
      <c r="X2" s="25">
        <v>-5.2588721834653122E-2</v>
      </c>
      <c r="Y2" s="25">
        <v>8.2352900000000007E-2</v>
      </c>
      <c r="Z2" s="25">
        <v>-9.5866799999999988E-2</v>
      </c>
      <c r="AA2" s="25">
        <v>-4.3945600000000001E-2</v>
      </c>
      <c r="AB2" s="25">
        <v>-4.664343E-2</v>
      </c>
      <c r="AC2" s="25">
        <v>-6.8594799999999997E-2</v>
      </c>
      <c r="AD2" s="260"/>
      <c r="AE2" s="123"/>
      <c r="AF2" s="6"/>
      <c r="AH2" s="6"/>
      <c r="AJ2" s="6"/>
      <c r="AL2" s="6"/>
      <c r="AN2" s="6"/>
      <c r="AP2" s="6"/>
      <c r="AR2" s="6"/>
      <c r="AT2" s="6"/>
      <c r="AV2" s="6"/>
      <c r="AX2" s="6"/>
      <c r="AZ2" s="6"/>
      <c r="BB2" s="6"/>
      <c r="BD2" s="6"/>
      <c r="BF2" s="6"/>
      <c r="BH2" s="6"/>
      <c r="BJ2" s="6"/>
      <c r="BL2" s="6"/>
      <c r="BN2" s="6"/>
      <c r="BP2" s="6"/>
      <c r="BR2" s="6"/>
      <c r="BT2" s="6"/>
      <c r="BV2" s="6"/>
      <c r="BX2" s="6"/>
      <c r="BZ2" s="6"/>
      <c r="CB2" s="6"/>
      <c r="CD2" s="6"/>
      <c r="CF2" s="6"/>
      <c r="CH2" s="6"/>
      <c r="CJ2" s="6"/>
      <c r="CL2" s="6"/>
      <c r="CN2" s="6"/>
      <c r="CP2" s="6"/>
      <c r="CR2" s="6"/>
      <c r="CT2" s="6"/>
      <c r="CV2" s="6"/>
      <c r="CX2" s="6"/>
      <c r="CZ2" s="6"/>
      <c r="DB2" s="6"/>
      <c r="DD2" s="6"/>
      <c r="DF2" s="6"/>
      <c r="DH2" s="6"/>
      <c r="DJ2" s="6"/>
      <c r="DL2" s="6"/>
      <c r="DN2" s="6"/>
      <c r="DP2" s="6"/>
      <c r="DR2" s="6"/>
      <c r="DT2" s="6"/>
      <c r="DV2" s="6"/>
      <c r="DX2" s="6"/>
      <c r="DZ2" s="6"/>
      <c r="EB2" s="6"/>
      <c r="ED2" s="6"/>
      <c r="EF2" s="6"/>
      <c r="EH2" s="6"/>
      <c r="EJ2" s="6"/>
      <c r="EL2" s="6"/>
      <c r="EN2" s="6"/>
      <c r="EP2" s="6"/>
      <c r="ER2" s="6"/>
      <c r="ET2" s="6"/>
      <c r="EV2" s="6"/>
      <c r="EX2" s="6"/>
      <c r="EZ2" s="6"/>
      <c r="FB2" s="6"/>
      <c r="FD2" s="6"/>
      <c r="FF2" s="6"/>
    </row>
    <row r="3" spans="5:162">
      <c r="E3" s="421">
        <v>40237</v>
      </c>
      <c r="F3" s="25">
        <v>-9.3080893158912659E-2</v>
      </c>
      <c r="G3" s="25">
        <v>-8.2301206886768341E-2</v>
      </c>
      <c r="H3" s="25">
        <v>-4.9007833003997803E-2</v>
      </c>
      <c r="I3" s="25">
        <v>2.5710742920637131E-2</v>
      </c>
      <c r="J3" s="25">
        <v>-2.6624774560332298E-2</v>
      </c>
      <c r="K3" s="25">
        <v>-3.7442240864038467E-2</v>
      </c>
      <c r="L3" s="25">
        <v>7.2755418717861176E-2</v>
      </c>
      <c r="M3" s="25">
        <v>4.3662291020154953E-2</v>
      </c>
      <c r="N3" s="25">
        <v>9.9233193323016167E-3</v>
      </c>
      <c r="O3" s="25"/>
      <c r="P3" s="421">
        <v>40237</v>
      </c>
      <c r="Q3" s="25">
        <v>2.7355086178615373E-3</v>
      </c>
      <c r="R3" s="25">
        <v>-6.4931887917356601E-3</v>
      </c>
      <c r="S3" s="6"/>
      <c r="T3" s="421">
        <v>40237</v>
      </c>
      <c r="U3" s="25">
        <v>-2.576999E-2</v>
      </c>
      <c r="V3" s="287">
        <v>-7.8323799999999999E-2</v>
      </c>
      <c r="W3" s="25">
        <v>1.3862399999999999E-2</v>
      </c>
      <c r="X3" s="25">
        <v>-9.7270963330988724E-3</v>
      </c>
      <c r="Y3" s="25">
        <v>-5.4347800000000002E-2</v>
      </c>
      <c r="Z3" s="25">
        <v>7.1111099999999997E-2</v>
      </c>
      <c r="AA3" s="25">
        <v>1.3324800000000001E-2</v>
      </c>
      <c r="AB3" s="25">
        <v>-1.0441869999999999E-2</v>
      </c>
      <c r="AC3" s="25">
        <v>5.6738700000000003E-2</v>
      </c>
      <c r="AD3" s="260"/>
      <c r="AE3" s="123"/>
      <c r="AF3" s="6"/>
      <c r="AH3" s="6"/>
      <c r="AJ3" s="6"/>
      <c r="AL3" s="6"/>
      <c r="AN3" s="6"/>
      <c r="AP3" s="6"/>
      <c r="AR3" s="6"/>
      <c r="AT3" s="6"/>
      <c r="AV3" s="6"/>
      <c r="AX3" s="6"/>
      <c r="AZ3" s="6"/>
      <c r="BB3" s="6"/>
      <c r="BD3" s="6"/>
      <c r="BF3" s="6"/>
      <c r="BH3" s="6"/>
      <c r="BJ3" s="6"/>
      <c r="BL3" s="6"/>
      <c r="BN3" s="6"/>
      <c r="BP3" s="6"/>
      <c r="BR3" s="6"/>
      <c r="BT3" s="6"/>
      <c r="BV3" s="6"/>
      <c r="BX3" s="6"/>
      <c r="BZ3" s="6"/>
      <c r="CB3" s="6"/>
      <c r="CD3" s="6"/>
      <c r="CF3" s="6"/>
      <c r="CH3" s="6"/>
      <c r="CJ3" s="6"/>
      <c r="CL3" s="6"/>
      <c r="CN3" s="6"/>
      <c r="CP3" s="6"/>
      <c r="CR3" s="6"/>
      <c r="CT3" s="6"/>
      <c r="CV3" s="6"/>
      <c r="CX3" s="6"/>
      <c r="CZ3" s="6"/>
      <c r="DB3" s="6"/>
      <c r="DD3" s="6"/>
      <c r="DF3" s="6"/>
      <c r="DH3" s="6"/>
      <c r="DJ3" s="6"/>
      <c r="DL3" s="6"/>
      <c r="DN3" s="6"/>
      <c r="DP3" s="6"/>
      <c r="DR3" s="6"/>
      <c r="DT3" s="6"/>
      <c r="DV3" s="6"/>
      <c r="DX3" s="6"/>
      <c r="DZ3" s="6"/>
      <c r="EB3" s="6"/>
      <c r="ED3" s="6"/>
      <c r="EF3" s="6"/>
      <c r="EH3" s="6"/>
      <c r="EJ3" s="6"/>
      <c r="EL3" s="6"/>
      <c r="EN3" s="6"/>
      <c r="EP3" s="6"/>
      <c r="ER3" s="6"/>
      <c r="ET3" s="6"/>
      <c r="EV3" s="6"/>
      <c r="EX3" s="6"/>
      <c r="EZ3" s="6"/>
      <c r="FB3" s="6"/>
      <c r="FD3" s="6"/>
      <c r="FF3" s="6"/>
    </row>
    <row r="4" spans="5:162">
      <c r="E4" s="421">
        <v>40268</v>
      </c>
      <c r="F4" s="25">
        <v>4.5515164732933044E-2</v>
      </c>
      <c r="G4" s="25">
        <v>9.9421888589859009E-2</v>
      </c>
      <c r="H4" s="25">
        <v>7.325301319360733E-2</v>
      </c>
      <c r="I4" s="25">
        <v>9.3996740877628326E-2</v>
      </c>
      <c r="J4" s="25">
        <v>7.6609976589679718E-2</v>
      </c>
      <c r="K4" s="25">
        <v>0.12822268903255463</v>
      </c>
      <c r="L4" s="25">
        <v>2.067922055721283E-2</v>
      </c>
      <c r="M4" s="25">
        <v>8.4718689322471619E-3</v>
      </c>
      <c r="N4" s="25">
        <v>3.4820634871721268E-2</v>
      </c>
      <c r="O4" s="25"/>
      <c r="P4" s="421">
        <v>40268</v>
      </c>
      <c r="Q4" s="25">
        <v>-3.9259702934913987E-3</v>
      </c>
      <c r="R4" s="25">
        <v>2.5952555155335455E-2</v>
      </c>
      <c r="S4" s="6"/>
      <c r="T4" s="421">
        <v>40268</v>
      </c>
      <c r="U4" s="25">
        <v>7.0667920000000009E-2</v>
      </c>
      <c r="V4" s="287">
        <v>5.4442899999999995E-2</v>
      </c>
      <c r="W4" s="25">
        <v>5.8442000000000001E-2</v>
      </c>
      <c r="X4" s="25">
        <v>6.7000165326205341E-2</v>
      </c>
      <c r="Y4" s="25">
        <v>-6.2068999999999999E-2</v>
      </c>
      <c r="Z4" s="25">
        <v>4.9199799999999995E-2</v>
      </c>
      <c r="AA4" s="25">
        <v>6.1012299999999998E-2</v>
      </c>
      <c r="AB4" s="25">
        <v>6.5119070000000001E-2</v>
      </c>
      <c r="AC4" s="25">
        <v>0.10676920000000001</v>
      </c>
      <c r="AD4" s="260"/>
      <c r="AE4" s="123"/>
      <c r="AF4" s="6"/>
      <c r="AH4" s="6"/>
      <c r="AJ4" s="6"/>
      <c r="AL4" s="6"/>
      <c r="AN4" s="6"/>
      <c r="AP4" s="6"/>
      <c r="AR4" s="6"/>
      <c r="AT4" s="6"/>
      <c r="AV4" s="6"/>
      <c r="AX4" s="6"/>
      <c r="AZ4" s="6"/>
      <c r="BB4" s="6"/>
      <c r="BD4" s="6"/>
      <c r="BF4" s="6"/>
      <c r="BH4" s="6"/>
      <c r="BJ4" s="6"/>
      <c r="BL4" s="6"/>
      <c r="BN4" s="6"/>
      <c r="BP4" s="6"/>
      <c r="BR4" s="6"/>
      <c r="BT4" s="6"/>
      <c r="BV4" s="6"/>
      <c r="BX4" s="6"/>
      <c r="BZ4" s="6"/>
      <c r="CB4" s="6"/>
      <c r="CD4" s="6"/>
      <c r="CF4" s="6"/>
      <c r="CH4" s="6"/>
      <c r="CJ4" s="6"/>
      <c r="CL4" s="6"/>
      <c r="CN4" s="6"/>
      <c r="CP4" s="6"/>
      <c r="CR4" s="6"/>
      <c r="CT4" s="6"/>
      <c r="CV4" s="6"/>
      <c r="CX4" s="6"/>
      <c r="CZ4" s="6"/>
      <c r="DB4" s="6"/>
      <c r="DD4" s="6"/>
      <c r="DF4" s="6"/>
      <c r="DH4" s="6"/>
      <c r="DJ4" s="6"/>
      <c r="DL4" s="6"/>
      <c r="DN4" s="6"/>
      <c r="DP4" s="6"/>
      <c r="DR4" s="6"/>
      <c r="DT4" s="6"/>
      <c r="DV4" s="6"/>
      <c r="DX4" s="6"/>
      <c r="DZ4" s="6"/>
      <c r="EB4" s="6"/>
      <c r="ED4" s="6"/>
      <c r="EF4" s="6"/>
      <c r="EH4" s="6"/>
      <c r="EJ4" s="6"/>
      <c r="EL4" s="6"/>
      <c r="EN4" s="6"/>
      <c r="EP4" s="6"/>
      <c r="ER4" s="6"/>
      <c r="ET4" s="6"/>
      <c r="EV4" s="6"/>
      <c r="EX4" s="6"/>
      <c r="EZ4" s="6"/>
      <c r="FB4" s="6"/>
      <c r="FD4" s="6"/>
      <c r="FF4" s="6"/>
    </row>
    <row r="5" spans="5:162">
      <c r="E5" s="421">
        <v>40298</v>
      </c>
      <c r="F5" s="25">
        <v>-2.0968858152627945E-3</v>
      </c>
      <c r="G5" s="25">
        <v>0.12296680361032486</v>
      </c>
      <c r="H5" s="25">
        <v>-6.8571537733078003E-2</v>
      </c>
      <c r="I5" s="25">
        <v>0.16543342173099518</v>
      </c>
      <c r="J5" s="25">
        <v>-2.7397241443395615E-2</v>
      </c>
      <c r="K5" s="25">
        <v>5.2514992654323578E-2</v>
      </c>
      <c r="L5" s="25">
        <v>-5.0142411142587662E-2</v>
      </c>
      <c r="M5" s="25">
        <v>5.7479594834148884E-3</v>
      </c>
      <c r="N5" s="25">
        <v>-1.3903680257499218E-2</v>
      </c>
      <c r="O5" s="25"/>
      <c r="P5" s="421">
        <v>40298</v>
      </c>
      <c r="Q5" s="25">
        <v>2.3466752906815103E-2</v>
      </c>
      <c r="R5" s="25">
        <v>3.4100649372913017E-2</v>
      </c>
      <c r="S5" s="6"/>
      <c r="T5" s="421">
        <v>40298</v>
      </c>
      <c r="U5" s="25">
        <v>-2.7672150000000003E-2</v>
      </c>
      <c r="V5" s="287">
        <v>-1.5736699999999999E-2</v>
      </c>
      <c r="W5" s="25">
        <v>-1.6593299999999999E-3</v>
      </c>
      <c r="X5" s="25">
        <v>-3.9029175629106128E-3</v>
      </c>
      <c r="Y5" s="25">
        <v>-9.3790800000000007E-2</v>
      </c>
      <c r="Z5" s="25">
        <v>9.8305100000000006E-2</v>
      </c>
      <c r="AA5" s="25">
        <v>-5.9099999999999995E-4</v>
      </c>
      <c r="AB5" s="25">
        <v>-4.1016999999999996E-4</v>
      </c>
      <c r="AC5" s="25">
        <v>2.7522899999999999E-2</v>
      </c>
      <c r="AD5" s="260"/>
      <c r="AE5" s="123"/>
      <c r="AF5" s="6"/>
      <c r="AH5" s="6"/>
      <c r="AJ5" s="6"/>
      <c r="AL5" s="6"/>
      <c r="AN5" s="6"/>
      <c r="AP5" s="6"/>
      <c r="AR5" s="6"/>
      <c r="AT5" s="6"/>
      <c r="AV5" s="6"/>
      <c r="AX5" s="6"/>
      <c r="AZ5" s="6"/>
      <c r="BB5" s="6"/>
      <c r="BD5" s="6"/>
      <c r="BF5" s="6"/>
      <c r="BH5" s="6"/>
      <c r="BJ5" s="6"/>
      <c r="BL5" s="6"/>
      <c r="BN5" s="6"/>
      <c r="BP5" s="6"/>
      <c r="BR5" s="6"/>
      <c r="BT5" s="6"/>
      <c r="BV5" s="6"/>
      <c r="BX5" s="6"/>
      <c r="BZ5" s="6"/>
      <c r="CB5" s="6"/>
      <c r="CD5" s="6"/>
      <c r="CF5" s="6"/>
      <c r="CH5" s="6"/>
      <c r="CJ5" s="6"/>
      <c r="CL5" s="6"/>
      <c r="CN5" s="6"/>
      <c r="CP5" s="6"/>
      <c r="CR5" s="6"/>
      <c r="CT5" s="6"/>
      <c r="CV5" s="6"/>
      <c r="CX5" s="6"/>
      <c r="CZ5" s="6"/>
      <c r="DB5" s="6"/>
      <c r="DD5" s="6"/>
      <c r="DF5" s="6"/>
      <c r="DH5" s="6"/>
      <c r="DJ5" s="6"/>
      <c r="DL5" s="6"/>
      <c r="DN5" s="6"/>
      <c r="DP5" s="6"/>
      <c r="DR5" s="6"/>
      <c r="DT5" s="6"/>
      <c r="DV5" s="6"/>
      <c r="DX5" s="6"/>
      <c r="DZ5" s="6"/>
      <c r="EB5" s="6"/>
      <c r="ED5" s="6"/>
      <c r="EF5" s="6"/>
      <c r="EH5" s="6"/>
      <c r="EJ5" s="6"/>
      <c r="EL5" s="6"/>
      <c r="EN5" s="6"/>
      <c r="EP5" s="6"/>
      <c r="ER5" s="6"/>
      <c r="ET5" s="6"/>
      <c r="EV5" s="6"/>
      <c r="EX5" s="6"/>
      <c r="EZ5" s="6"/>
      <c r="FB5" s="6"/>
      <c r="FD5" s="6"/>
      <c r="FF5" s="6"/>
    </row>
    <row r="6" spans="5:162">
      <c r="E6" s="421">
        <v>40329</v>
      </c>
      <c r="F6" s="25">
        <v>-9.8145291209220886E-2</v>
      </c>
      <c r="G6" s="25">
        <v>-0.21875545382499695</v>
      </c>
      <c r="H6" s="25">
        <v>-0.18396106362342834</v>
      </c>
      <c r="I6" s="25">
        <v>-0.17228613793849945</v>
      </c>
      <c r="J6" s="25">
        <v>-7.590186595916748E-2</v>
      </c>
      <c r="K6" s="25">
        <v>-0.11499827355146408</v>
      </c>
      <c r="L6" s="25">
        <v>-4.5338097959756851E-2</v>
      </c>
      <c r="M6" s="25">
        <v>-2.399899996817112E-2</v>
      </c>
      <c r="N6" s="25">
        <v>-8.5118323564529419E-2</v>
      </c>
      <c r="O6" s="25"/>
      <c r="P6" s="421">
        <v>40329</v>
      </c>
      <c r="Q6" s="25">
        <v>1.4643948632622639E-2</v>
      </c>
      <c r="R6" s="25">
        <v>1.709481055130424E-2</v>
      </c>
      <c r="S6" s="6"/>
      <c r="T6" s="421">
        <v>40329</v>
      </c>
      <c r="U6" s="25">
        <v>-0.13201897000000001</v>
      </c>
      <c r="V6" s="287">
        <v>-0.18319479999999999</v>
      </c>
      <c r="W6" s="25">
        <v>-8.5589730000000003E-2</v>
      </c>
      <c r="X6" s="25">
        <v>-0.1044468810057374</v>
      </c>
      <c r="Y6" s="25">
        <v>0.24468090000000001</v>
      </c>
      <c r="Z6" s="25">
        <v>-7.8703700000000001E-2</v>
      </c>
      <c r="AA6" s="25">
        <v>-9.5416399999999998E-2</v>
      </c>
      <c r="AB6" s="25">
        <v>-8.6948620000000004E-2</v>
      </c>
      <c r="AC6" s="25">
        <v>-0.14880950000000001</v>
      </c>
      <c r="AD6" s="260"/>
      <c r="AE6" s="123"/>
      <c r="AF6" s="6"/>
      <c r="AH6" s="6"/>
      <c r="AJ6" s="6"/>
      <c r="AL6" s="6"/>
      <c r="AN6" s="6"/>
      <c r="AP6" s="6"/>
      <c r="AR6" s="6"/>
      <c r="AT6" s="6"/>
      <c r="AV6" s="6"/>
      <c r="AX6" s="6"/>
      <c r="AZ6" s="6"/>
      <c r="BB6" s="6"/>
      <c r="BD6" s="6"/>
      <c r="BF6" s="6"/>
      <c r="BH6" s="6"/>
      <c r="BJ6" s="6"/>
      <c r="BL6" s="6"/>
      <c r="BN6" s="6"/>
      <c r="BP6" s="6"/>
      <c r="BR6" s="6"/>
      <c r="BT6" s="6"/>
      <c r="BV6" s="6"/>
      <c r="BX6" s="6"/>
      <c r="BZ6" s="6"/>
      <c r="CB6" s="6"/>
      <c r="CD6" s="6"/>
      <c r="CF6" s="6"/>
      <c r="CH6" s="6"/>
      <c r="CJ6" s="6"/>
      <c r="CL6" s="6"/>
      <c r="CN6" s="6"/>
      <c r="CP6" s="6"/>
      <c r="CR6" s="6"/>
      <c r="CT6" s="6"/>
      <c r="CV6" s="6"/>
      <c r="CX6" s="6"/>
      <c r="CZ6" s="6"/>
      <c r="DB6" s="6"/>
      <c r="DD6" s="6"/>
      <c r="DF6" s="6"/>
      <c r="DH6" s="6"/>
      <c r="DJ6" s="6"/>
      <c r="DL6" s="6"/>
      <c r="DN6" s="6"/>
      <c r="DP6" s="6"/>
      <c r="DR6" s="6"/>
      <c r="DT6" s="6"/>
      <c r="DV6" s="6"/>
      <c r="DX6" s="6"/>
      <c r="DZ6" s="6"/>
      <c r="EB6" s="6"/>
      <c r="ED6" s="6"/>
      <c r="EF6" s="6"/>
      <c r="EH6" s="6"/>
      <c r="EJ6" s="6"/>
      <c r="EL6" s="6"/>
      <c r="EN6" s="6"/>
      <c r="EP6" s="6"/>
      <c r="ER6" s="6"/>
      <c r="ET6" s="6"/>
      <c r="EV6" s="6"/>
      <c r="EX6" s="6"/>
      <c r="EZ6" s="6"/>
      <c r="FB6" s="6"/>
      <c r="FD6" s="6"/>
      <c r="FF6" s="6"/>
    </row>
    <row r="7" spans="5:162">
      <c r="E7" s="421">
        <v>40359</v>
      </c>
      <c r="F7" s="25">
        <v>-7.6721124351024628E-2</v>
      </c>
      <c r="G7" s="25">
        <v>-0.12124244868755341</v>
      </c>
      <c r="H7" s="25">
        <v>-0.33645686507225037</v>
      </c>
      <c r="I7" s="25">
        <v>2.9249850660562515E-2</v>
      </c>
      <c r="J7" s="25">
        <v>-3.4066189080476761E-2</v>
      </c>
      <c r="K7" s="25">
        <v>1.1654798872768879E-2</v>
      </c>
      <c r="L7" s="25">
        <v>-0.17622219026088715</v>
      </c>
      <c r="M7" s="25">
        <v>-1.4310446567833424E-2</v>
      </c>
      <c r="N7" s="25">
        <v>1.2936021201312542E-2</v>
      </c>
      <c r="O7" s="25"/>
      <c r="P7" s="421">
        <v>40359</v>
      </c>
      <c r="Q7" s="25">
        <v>3.5954979635730133E-2</v>
      </c>
      <c r="R7" s="25">
        <v>3.2910864236165516E-2</v>
      </c>
      <c r="S7" s="6"/>
      <c r="T7" s="421">
        <v>40359</v>
      </c>
      <c r="U7" s="25">
        <v>8.8230299999999991E-3</v>
      </c>
      <c r="V7" s="287">
        <v>-2.6663800000000001E-2</v>
      </c>
      <c r="W7" s="25">
        <v>-2.1697419999999999E-2</v>
      </c>
      <c r="X7" s="25">
        <v>-2.7946541040740902E-3</v>
      </c>
      <c r="Y7" s="25">
        <v>8.8512199999999999E-2</v>
      </c>
      <c r="Z7" s="25">
        <v>5.5829999999999996E-4</v>
      </c>
      <c r="AA7" s="25">
        <v>-3.6556600000000002E-2</v>
      </c>
      <c r="AB7" s="25">
        <v>-1.2868409999999999E-2</v>
      </c>
      <c r="AC7" s="25">
        <v>-7.4062299999999998E-2</v>
      </c>
      <c r="AD7" s="260"/>
      <c r="AE7" s="123"/>
      <c r="AF7" s="6"/>
      <c r="AH7" s="6"/>
      <c r="AJ7" s="6"/>
      <c r="AL7" s="6"/>
      <c r="AN7" s="6"/>
      <c r="AP7" s="6"/>
      <c r="AR7" s="6"/>
      <c r="AT7" s="6"/>
      <c r="AV7" s="6"/>
      <c r="AX7" s="6"/>
      <c r="AZ7" s="6"/>
      <c r="BB7" s="6"/>
      <c r="BD7" s="6"/>
      <c r="BF7" s="6"/>
      <c r="BH7" s="6"/>
      <c r="BJ7" s="6"/>
      <c r="BL7" s="6"/>
      <c r="BN7" s="6"/>
      <c r="BP7" s="6"/>
      <c r="BR7" s="6"/>
      <c r="BT7" s="6"/>
      <c r="BV7" s="6"/>
      <c r="BX7" s="6"/>
      <c r="BZ7" s="6"/>
      <c r="CB7" s="6"/>
      <c r="CD7" s="6"/>
      <c r="CF7" s="6"/>
      <c r="CH7" s="6"/>
      <c r="CJ7" s="6"/>
      <c r="CL7" s="6"/>
      <c r="CN7" s="6"/>
      <c r="CP7" s="6"/>
      <c r="CR7" s="6"/>
      <c r="CT7" s="6"/>
      <c r="CV7" s="6"/>
      <c r="CX7" s="6"/>
      <c r="CZ7" s="6"/>
      <c r="DB7" s="6"/>
      <c r="DD7" s="6"/>
      <c r="DF7" s="6"/>
      <c r="DH7" s="6"/>
      <c r="DJ7" s="6"/>
      <c r="DL7" s="6"/>
      <c r="DN7" s="6"/>
      <c r="DP7" s="6"/>
      <c r="DR7" s="6"/>
      <c r="DT7" s="6"/>
      <c r="DV7" s="6"/>
      <c r="DX7" s="6"/>
      <c r="DZ7" s="6"/>
      <c r="EB7" s="6"/>
      <c r="ED7" s="6"/>
      <c r="EF7" s="6"/>
      <c r="EH7" s="6"/>
      <c r="EJ7" s="6"/>
      <c r="EL7" s="6"/>
      <c r="EN7" s="6"/>
      <c r="EP7" s="6"/>
      <c r="ER7" s="6"/>
      <c r="ET7" s="6"/>
      <c r="EV7" s="6"/>
      <c r="EX7" s="6"/>
      <c r="EZ7" s="6"/>
      <c r="FB7" s="6"/>
      <c r="FD7" s="6"/>
      <c r="FF7" s="6"/>
    </row>
    <row r="8" spans="5:162">
      <c r="E8" s="421">
        <v>40390</v>
      </c>
      <c r="F8" s="25">
        <v>0.1255699098110199</v>
      </c>
      <c r="G8" s="25">
        <v>0.15769569575786591</v>
      </c>
      <c r="H8" s="25">
        <v>0.33241823315620422</v>
      </c>
      <c r="I8" s="25">
        <v>8.7992705404758453E-2</v>
      </c>
      <c r="J8" s="25">
        <v>1.1065579950809479E-2</v>
      </c>
      <c r="K8" s="25">
        <v>2.8638837859034538E-2</v>
      </c>
      <c r="L8" s="25">
        <v>8.6543962359428406E-2</v>
      </c>
      <c r="M8" s="25">
        <v>3.9744507521390915E-2</v>
      </c>
      <c r="N8" s="25">
        <v>-1.6523974016308784E-2</v>
      </c>
      <c r="O8" s="25"/>
      <c r="P8" s="421">
        <v>40390</v>
      </c>
      <c r="Q8" s="25">
        <v>-1.96809709905299E-3</v>
      </c>
      <c r="R8" s="25">
        <v>-1.0938446778428479E-2</v>
      </c>
      <c r="S8" s="6"/>
      <c r="T8" s="421">
        <v>40390</v>
      </c>
      <c r="U8" s="25">
        <v>0.11264391</v>
      </c>
      <c r="V8" s="287">
        <v>0.1056332</v>
      </c>
      <c r="W8" s="25">
        <v>6.2442700000000004E-2</v>
      </c>
      <c r="X8" s="25">
        <v>7.8052551457655328E-2</v>
      </c>
      <c r="Y8" s="25">
        <v>-0.15065210000000001</v>
      </c>
      <c r="Z8" s="25">
        <v>-2.3995499999999999E-2</v>
      </c>
      <c r="AA8" s="25">
        <v>8.0026100000000003E-2</v>
      </c>
      <c r="AB8" s="25">
        <v>7.4014659999999996E-2</v>
      </c>
      <c r="AC8" s="25">
        <v>0.14503949999999999</v>
      </c>
      <c r="AD8" s="260"/>
      <c r="AE8" s="123"/>
      <c r="AF8" s="6"/>
      <c r="AH8" s="6"/>
      <c r="AJ8" s="6"/>
      <c r="AL8" s="6"/>
      <c r="AN8" s="6"/>
      <c r="AP8" s="6"/>
      <c r="AR8" s="6"/>
      <c r="AT8" s="6"/>
      <c r="AV8" s="6"/>
      <c r="AX8" s="6"/>
      <c r="AZ8" s="6"/>
      <c r="BB8" s="6"/>
      <c r="BD8" s="6"/>
      <c r="BF8" s="6"/>
      <c r="BH8" s="6"/>
      <c r="BJ8" s="6"/>
      <c r="BL8" s="6"/>
      <c r="BN8" s="6"/>
      <c r="BP8" s="6"/>
      <c r="BR8" s="6"/>
      <c r="BT8" s="6"/>
      <c r="BV8" s="6"/>
      <c r="BX8" s="6"/>
      <c r="BZ8" s="6"/>
      <c r="CB8" s="6"/>
      <c r="CD8" s="6"/>
      <c r="CF8" s="6"/>
      <c r="CH8" s="6"/>
      <c r="CJ8" s="6"/>
      <c r="CL8" s="6"/>
      <c r="CN8" s="6"/>
      <c r="CP8" s="6"/>
      <c r="CR8" s="6"/>
      <c r="CT8" s="6"/>
      <c r="CV8" s="6"/>
      <c r="CX8" s="6"/>
      <c r="CZ8" s="6"/>
      <c r="DB8" s="6"/>
      <c r="DD8" s="6"/>
      <c r="DF8" s="6"/>
      <c r="DH8" s="6"/>
      <c r="DJ8" s="6"/>
      <c r="DL8" s="6"/>
      <c r="DN8" s="6"/>
      <c r="DP8" s="6"/>
      <c r="DR8" s="6"/>
      <c r="DT8" s="6"/>
      <c r="DV8" s="6"/>
      <c r="DX8" s="6"/>
      <c r="DZ8" s="6"/>
      <c r="EB8" s="6"/>
      <c r="ED8" s="6"/>
      <c r="EF8" s="6"/>
      <c r="EH8" s="6"/>
      <c r="EJ8" s="6"/>
      <c r="EL8" s="6"/>
      <c r="EN8" s="6"/>
      <c r="EP8" s="6"/>
      <c r="ER8" s="6"/>
      <c r="ET8" s="6"/>
      <c r="EV8" s="6"/>
      <c r="EX8" s="6"/>
      <c r="EZ8" s="6"/>
      <c r="FB8" s="6"/>
      <c r="FD8" s="6"/>
      <c r="FF8" s="6"/>
    </row>
    <row r="9" spans="5:162">
      <c r="E9" s="421">
        <v>40421</v>
      </c>
      <c r="F9" s="25">
        <v>-3.8024831563234329E-2</v>
      </c>
      <c r="G9" s="25">
        <v>-0.23012767732143402</v>
      </c>
      <c r="H9" s="25">
        <v>-8.0024555325508118E-2</v>
      </c>
      <c r="I9" s="25">
        <v>0.19600969552993774</v>
      </c>
      <c r="J9" s="25">
        <v>-3.2355796545743942E-2</v>
      </c>
      <c r="K9" s="25">
        <v>-9.7982831299304962E-2</v>
      </c>
      <c r="L9" s="25">
        <v>-3.561532124876976E-2</v>
      </c>
      <c r="M9" s="25">
        <v>-3.6353982985019684E-2</v>
      </c>
      <c r="N9" s="25">
        <v>-9.3173794448375702E-3</v>
      </c>
      <c r="O9" s="25"/>
      <c r="P9" s="421">
        <v>40421</v>
      </c>
      <c r="Q9" s="25">
        <v>4.9492415649693866E-2</v>
      </c>
      <c r="R9" s="25">
        <v>9.5916374705645957E-2</v>
      </c>
      <c r="S9" s="6"/>
      <c r="T9" s="421">
        <v>40421</v>
      </c>
      <c r="U9" s="25">
        <v>-3.2260549999999999E-2</v>
      </c>
      <c r="V9" s="287">
        <v>-3.9649400000000001E-2</v>
      </c>
      <c r="W9" s="25">
        <v>-2.8365330000000001E-2</v>
      </c>
      <c r="X9" s="25">
        <v>-2.4944041810794459E-2</v>
      </c>
      <c r="Y9" s="25">
        <v>7.4898199999999998E-2</v>
      </c>
      <c r="Z9" s="25">
        <v>8.5763300000000001E-2</v>
      </c>
      <c r="AA9" s="25">
        <v>-4.0145699999999999E-2</v>
      </c>
      <c r="AB9" s="25">
        <v>-3.3708469999999997E-2</v>
      </c>
      <c r="AC9" s="25">
        <v>-8.0347799999999997E-2</v>
      </c>
      <c r="AD9" s="260"/>
      <c r="AE9" s="123"/>
      <c r="AF9" s="6"/>
      <c r="AH9" s="6"/>
      <c r="AJ9" s="6"/>
      <c r="AL9" s="6"/>
      <c r="AN9" s="6"/>
      <c r="AP9" s="6"/>
      <c r="AR9" s="6"/>
      <c r="AT9" s="6"/>
      <c r="AV9" s="6"/>
      <c r="AX9" s="6"/>
      <c r="AZ9" s="6"/>
      <c r="BB9" s="6"/>
      <c r="BD9" s="6"/>
      <c r="BF9" s="6"/>
      <c r="BH9" s="6"/>
      <c r="BJ9" s="6"/>
      <c r="BL9" s="6"/>
      <c r="BN9" s="6"/>
      <c r="BP9" s="6"/>
      <c r="BR9" s="6"/>
      <c r="BT9" s="6"/>
      <c r="BV9" s="6"/>
      <c r="BX9" s="6"/>
      <c r="BZ9" s="6"/>
      <c r="CB9" s="6"/>
      <c r="CD9" s="6"/>
      <c r="CF9" s="6"/>
      <c r="CH9" s="6"/>
      <c r="CJ9" s="6"/>
      <c r="CL9" s="6"/>
      <c r="CN9" s="6"/>
      <c r="CP9" s="6"/>
      <c r="CR9" s="6"/>
      <c r="CT9" s="6"/>
      <c r="CV9" s="6"/>
      <c r="CX9" s="6"/>
      <c r="CZ9" s="6"/>
      <c r="DB9" s="6"/>
      <c r="DD9" s="6"/>
      <c r="DF9" s="6"/>
      <c r="DH9" s="6"/>
      <c r="DJ9" s="6"/>
      <c r="DL9" s="6"/>
      <c r="DN9" s="6"/>
      <c r="DP9" s="6"/>
      <c r="DR9" s="6"/>
      <c r="DT9" s="6"/>
      <c r="DV9" s="6"/>
      <c r="DX9" s="6"/>
      <c r="DZ9" s="6"/>
      <c r="EB9" s="6"/>
      <c r="ED9" s="6"/>
      <c r="EF9" s="6"/>
      <c r="EH9" s="6"/>
      <c r="EJ9" s="6"/>
      <c r="EL9" s="6"/>
      <c r="EN9" s="6"/>
      <c r="EP9" s="6"/>
      <c r="ER9" s="6"/>
      <c r="ET9" s="6"/>
      <c r="EV9" s="6"/>
      <c r="EX9" s="6"/>
      <c r="EZ9" s="6"/>
      <c r="FB9" s="6"/>
      <c r="FD9" s="6"/>
      <c r="FF9" s="6"/>
    </row>
    <row r="10" spans="5:162">
      <c r="E10" s="421">
        <v>40451</v>
      </c>
      <c r="F10" s="25">
        <v>1.2186710722744465E-2</v>
      </c>
      <c r="G10" s="25">
        <v>8.2701724022626877E-3</v>
      </c>
      <c r="H10" s="25">
        <v>0.1523604542016983</v>
      </c>
      <c r="I10" s="25">
        <v>0.13766619563102722</v>
      </c>
      <c r="J10" s="25">
        <v>6.0406599193811417E-2</v>
      </c>
      <c r="K10" s="25">
        <v>0.11996840685606003</v>
      </c>
      <c r="L10" s="25">
        <v>-5.6056682020425797E-2</v>
      </c>
      <c r="M10" s="25">
        <v>8.9317671954631805E-2</v>
      </c>
      <c r="N10" s="25">
        <v>8.6536265909671783E-2</v>
      </c>
      <c r="O10" s="25"/>
      <c r="P10" s="421">
        <v>40451</v>
      </c>
      <c r="Q10" s="25">
        <v>-1.1202145358822913E-2</v>
      </c>
      <c r="R10" s="25">
        <v>-1.7253929155821246E-2</v>
      </c>
      <c r="S10" s="6"/>
      <c r="T10" s="421">
        <v>40451</v>
      </c>
      <c r="U10" s="25">
        <v>0.11538828000000001</v>
      </c>
      <c r="V10" s="287">
        <v>0.1083669</v>
      </c>
      <c r="W10" s="25">
        <v>8.1989269999999989E-2</v>
      </c>
      <c r="X10" s="25">
        <v>0.10188547773563016</v>
      </c>
      <c r="Y10" s="25">
        <v>-0.17740520000000001</v>
      </c>
      <c r="Z10" s="25">
        <v>0.13954710000000001</v>
      </c>
      <c r="AA10" s="25">
        <v>9.3349600000000005E-2</v>
      </c>
      <c r="AB10" s="25">
        <v>7.8189430000000004E-2</v>
      </c>
      <c r="AC10" s="25">
        <v>0.15990219999999999</v>
      </c>
      <c r="AD10" s="260"/>
      <c r="AE10" s="123"/>
      <c r="AF10" s="6"/>
      <c r="AH10" s="6"/>
      <c r="AJ10" s="6"/>
      <c r="AL10" s="6"/>
      <c r="AN10" s="6"/>
      <c r="AP10" s="6"/>
      <c r="AR10" s="6"/>
      <c r="AT10" s="6"/>
      <c r="AV10" s="6"/>
      <c r="AX10" s="6"/>
      <c r="AZ10" s="6"/>
      <c r="BB10" s="6"/>
      <c r="BD10" s="6"/>
      <c r="BF10" s="6"/>
      <c r="BH10" s="6"/>
      <c r="BJ10" s="6"/>
      <c r="BL10" s="6"/>
      <c r="BN10" s="6"/>
      <c r="BP10" s="6"/>
      <c r="BR10" s="6"/>
      <c r="BT10" s="6"/>
      <c r="BV10" s="6"/>
      <c r="BX10" s="6"/>
      <c r="BZ10" s="6"/>
      <c r="CB10" s="6"/>
      <c r="CD10" s="6"/>
      <c r="CF10" s="6"/>
      <c r="CH10" s="6"/>
      <c r="CJ10" s="6"/>
      <c r="CL10" s="6"/>
      <c r="CN10" s="6"/>
      <c r="CP10" s="6"/>
      <c r="CR10" s="6"/>
      <c r="CT10" s="6"/>
      <c r="CV10" s="6"/>
      <c r="CX10" s="6"/>
      <c r="CZ10" s="6"/>
      <c r="DB10" s="6"/>
      <c r="DD10" s="6"/>
      <c r="DF10" s="6"/>
      <c r="DH10" s="6"/>
      <c r="DJ10" s="6"/>
      <c r="DL10" s="6"/>
      <c r="DN10" s="6"/>
      <c r="DP10" s="6"/>
      <c r="DR10" s="6"/>
      <c r="DT10" s="6"/>
      <c r="DV10" s="6"/>
      <c r="DX10" s="6"/>
      <c r="DZ10" s="6"/>
      <c r="EB10" s="6"/>
      <c r="ED10" s="6"/>
      <c r="EF10" s="6"/>
      <c r="EH10" s="6"/>
      <c r="EJ10" s="6"/>
      <c r="EL10" s="6"/>
      <c r="EN10" s="6"/>
      <c r="EP10" s="6"/>
      <c r="ER10" s="6"/>
      <c r="ET10" s="6"/>
      <c r="EV10" s="6"/>
      <c r="EX10" s="6"/>
      <c r="EZ10" s="6"/>
      <c r="FB10" s="6"/>
      <c r="FD10" s="6"/>
      <c r="FF10" s="6"/>
    </row>
    <row r="11" spans="5:162">
      <c r="E11" s="421">
        <v>40482</v>
      </c>
      <c r="F11" s="25">
        <v>4.5753020793199539E-2</v>
      </c>
      <c r="G11" s="25">
        <v>-0.15546593070030212</v>
      </c>
      <c r="H11" s="25">
        <v>9.753701277077198E-3</v>
      </c>
      <c r="I11" s="25">
        <v>6.7476235330104828E-2</v>
      </c>
      <c r="J11" s="25">
        <v>-1.1065081693232059E-2</v>
      </c>
      <c r="K11" s="25">
        <v>-4.0527991950511932E-2</v>
      </c>
      <c r="L11" s="25">
        <v>7.6381832361221313E-2</v>
      </c>
      <c r="M11" s="25">
        <v>7.0423334836959839E-2</v>
      </c>
      <c r="N11" s="25">
        <v>2.8628211468458176E-2</v>
      </c>
      <c r="O11" s="25"/>
      <c r="P11" s="421">
        <v>40482</v>
      </c>
      <c r="Q11" s="25">
        <v>3.0885054082858687E-3</v>
      </c>
      <c r="R11" s="25">
        <v>-3.7495704111017658E-2</v>
      </c>
      <c r="S11" s="6"/>
      <c r="T11" s="421">
        <v>40482</v>
      </c>
      <c r="U11" s="25">
        <v>4.3831639999999998E-2</v>
      </c>
      <c r="V11" s="287">
        <v>-1.6686700000000002E-2</v>
      </c>
      <c r="W11" s="25">
        <v>2.7442859999999999E-2</v>
      </c>
      <c r="X11" s="25">
        <v>3.1404180918022773E-2</v>
      </c>
      <c r="Y11" s="25">
        <v>-0.10384550000000001</v>
      </c>
      <c r="Z11" s="25">
        <v>4.80591E-2</v>
      </c>
      <c r="AA11" s="25">
        <v>3.7404600000000003E-2</v>
      </c>
      <c r="AB11" s="25">
        <v>4.9593579999999998E-2</v>
      </c>
      <c r="AC11" s="25">
        <v>6.1691999999999997E-2</v>
      </c>
      <c r="AD11" s="260"/>
      <c r="AF11" s="6"/>
      <c r="AH11" s="6"/>
      <c r="AJ11" s="6"/>
      <c r="AL11" s="6"/>
      <c r="AN11" s="6"/>
      <c r="AP11" s="6"/>
      <c r="AR11" s="6"/>
      <c r="AT11" s="6"/>
      <c r="AV11" s="6"/>
      <c r="AX11" s="6"/>
      <c r="AZ11" s="6"/>
      <c r="BB11" s="6"/>
      <c r="BD11" s="6"/>
      <c r="BF11" s="6"/>
      <c r="BH11" s="6"/>
      <c r="BJ11" s="6"/>
      <c r="BL11" s="6"/>
      <c r="BN11" s="6"/>
      <c r="BP11" s="6"/>
      <c r="BR11" s="6"/>
      <c r="BT11" s="6"/>
      <c r="BV11" s="6"/>
      <c r="BX11" s="6"/>
      <c r="BZ11" s="6"/>
      <c r="CB11" s="6"/>
      <c r="CD11" s="6"/>
      <c r="CF11" s="6"/>
      <c r="CH11" s="6"/>
      <c r="CJ11" s="6"/>
      <c r="CL11" s="6"/>
      <c r="CN11" s="6"/>
      <c r="CP11" s="6"/>
      <c r="CR11" s="6"/>
      <c r="CT11" s="6"/>
      <c r="CV11" s="6"/>
      <c r="CX11" s="6"/>
      <c r="CZ11" s="6"/>
      <c r="DB11" s="6"/>
      <c r="DD11" s="6"/>
      <c r="DF11" s="6"/>
      <c r="DH11" s="6"/>
      <c r="DJ11" s="6"/>
      <c r="DL11" s="6"/>
      <c r="DN11" s="6"/>
      <c r="DP11" s="6"/>
      <c r="DR11" s="6"/>
      <c r="DT11" s="6"/>
      <c r="DV11" s="6"/>
      <c r="DX11" s="6"/>
      <c r="DZ11" s="6"/>
      <c r="EB11" s="6"/>
      <c r="ED11" s="6"/>
      <c r="EF11" s="6"/>
      <c r="EH11" s="6"/>
      <c r="EJ11" s="6"/>
      <c r="EL11" s="6"/>
      <c r="EN11" s="6"/>
      <c r="EP11" s="6"/>
      <c r="ER11" s="6"/>
      <c r="ET11" s="6"/>
      <c r="EV11" s="6"/>
      <c r="EX11" s="6"/>
      <c r="EZ11" s="6"/>
      <c r="FB11" s="6"/>
      <c r="FD11" s="6"/>
      <c r="FF11" s="6"/>
    </row>
    <row r="12" spans="5:162">
      <c r="E12" s="421">
        <v>40512</v>
      </c>
      <c r="F12" s="25">
        <v>1.0215915739536285E-2</v>
      </c>
      <c r="G12" s="25">
        <v>-0.10474412143230438</v>
      </c>
      <c r="H12" s="25">
        <v>-2.5686582550406456E-2</v>
      </c>
      <c r="I12" s="25">
        <v>3.1526386737823486E-2</v>
      </c>
      <c r="J12" s="25">
        <v>8.2872152328491211E-2</v>
      </c>
      <c r="K12" s="25">
        <v>-0.10403565317392349</v>
      </c>
      <c r="L12" s="25">
        <v>-1.2533392757177353E-2</v>
      </c>
      <c r="M12" s="25">
        <v>-1.0630568489432335E-2</v>
      </c>
      <c r="N12" s="25">
        <v>-2.6088403537869453E-2</v>
      </c>
      <c r="O12" s="25"/>
      <c r="P12" s="421">
        <v>40512</v>
      </c>
      <c r="Q12" s="25">
        <v>-3.3407783846348571E-2</v>
      </c>
      <c r="R12" s="25">
        <v>1.8480897326980106E-2</v>
      </c>
      <c r="S12" s="6"/>
      <c r="T12" s="421">
        <v>40512</v>
      </c>
      <c r="U12" s="25">
        <v>-7.378788E-2</v>
      </c>
      <c r="V12" s="287">
        <v>-0.12629750000000001</v>
      </c>
      <c r="W12" s="25">
        <v>-2.3254670000000002E-2</v>
      </c>
      <c r="X12" s="25">
        <v>-5.8303206784175776E-2</v>
      </c>
      <c r="Y12" s="25">
        <v>-0.11647220000000001</v>
      </c>
      <c r="Z12" s="25">
        <v>7.2751300000000005E-2</v>
      </c>
      <c r="AA12" s="25">
        <v>-2.2987899999999999E-2</v>
      </c>
      <c r="AB12" s="25">
        <v>-3.093359E-2</v>
      </c>
      <c r="AC12" s="25">
        <v>-1.6621500000000001E-2</v>
      </c>
      <c r="AD12" s="260"/>
      <c r="AF12" s="6"/>
      <c r="AH12" s="6"/>
      <c r="AJ12" s="6"/>
      <c r="AL12" s="6"/>
      <c r="AN12" s="6"/>
      <c r="AP12" s="6"/>
      <c r="AR12" s="6"/>
      <c r="AT12" s="6"/>
      <c r="AV12" s="6"/>
      <c r="AX12" s="6"/>
      <c r="AZ12" s="6"/>
      <c r="BB12" s="6"/>
      <c r="BD12" s="6"/>
      <c r="BF12" s="6"/>
      <c r="BH12" s="6"/>
      <c r="BJ12" s="6"/>
      <c r="BL12" s="6"/>
      <c r="BN12" s="6"/>
      <c r="BP12" s="6"/>
      <c r="BR12" s="6"/>
      <c r="BT12" s="6"/>
      <c r="BV12" s="6"/>
      <c r="BX12" s="6"/>
      <c r="BZ12" s="6"/>
      <c r="CB12" s="6"/>
      <c r="CD12" s="6"/>
      <c r="CF12" s="6"/>
      <c r="CH12" s="6"/>
      <c r="CJ12" s="6"/>
      <c r="CL12" s="6"/>
      <c r="CN12" s="6"/>
      <c r="CP12" s="6"/>
      <c r="CR12" s="6"/>
      <c r="CT12" s="6"/>
      <c r="CV12" s="6"/>
      <c r="CX12" s="6"/>
      <c r="CZ12" s="6"/>
      <c r="DB12" s="6"/>
      <c r="DD12" s="6"/>
      <c r="DF12" s="6"/>
      <c r="DH12" s="6"/>
      <c r="DJ12" s="6"/>
      <c r="DL12" s="6"/>
      <c r="DN12" s="6"/>
      <c r="DP12" s="6"/>
      <c r="DR12" s="6"/>
      <c r="DT12" s="6"/>
      <c r="DV12" s="6"/>
      <c r="DX12" s="6"/>
      <c r="DZ12" s="6"/>
      <c r="EB12" s="6"/>
      <c r="ED12" s="6"/>
      <c r="EF12" s="6"/>
      <c r="EH12" s="6"/>
      <c r="EJ12" s="6"/>
      <c r="EL12" s="6"/>
      <c r="EN12" s="6"/>
      <c r="EP12" s="6"/>
      <c r="ER12" s="6"/>
      <c r="ET12" s="6"/>
      <c r="EV12" s="6"/>
      <c r="EX12" s="6"/>
      <c r="EZ12" s="6"/>
      <c r="FB12" s="6"/>
      <c r="FD12" s="6"/>
      <c r="FF12" s="6"/>
    </row>
    <row r="13" spans="5:162">
      <c r="E13" s="421">
        <v>40543</v>
      </c>
      <c r="F13" s="25">
        <v>0.14603905379772186</v>
      </c>
      <c r="G13" s="25">
        <v>0.11072242259979248</v>
      </c>
      <c r="H13" s="25">
        <v>9.8703891038894653E-2</v>
      </c>
      <c r="I13" s="25">
        <v>8.7056107819080353E-2</v>
      </c>
      <c r="J13" s="25">
        <v>3.2756820321083069E-2</v>
      </c>
      <c r="K13" s="25">
        <v>0.1360592246055603</v>
      </c>
      <c r="L13" s="25">
        <v>0.10709424316883087</v>
      </c>
      <c r="M13" s="25">
        <v>3.7366423755884171E-2</v>
      </c>
      <c r="N13" s="25">
        <v>4.7740871086716652E-3</v>
      </c>
      <c r="O13" s="25"/>
      <c r="P13" s="421">
        <v>40543</v>
      </c>
      <c r="Q13" s="25">
        <v>-2.0118154986037529E-2</v>
      </c>
      <c r="R13" s="25">
        <v>-2.6057785299806624E-2</v>
      </c>
      <c r="S13" s="6"/>
      <c r="T13" s="421">
        <v>40543</v>
      </c>
      <c r="U13" s="25">
        <v>8.9237749999999991E-2</v>
      </c>
      <c r="V13" s="287">
        <v>7.3167900000000008E-2</v>
      </c>
      <c r="W13" s="25">
        <v>7.2254509999999994E-2</v>
      </c>
      <c r="X13" s="25">
        <v>8.6074185146863158E-2</v>
      </c>
      <c r="Y13" s="25">
        <v>-0.15935540000000001</v>
      </c>
      <c r="Z13" s="25">
        <v>4.0875099999999998E-2</v>
      </c>
      <c r="AA13" s="25">
        <v>7.3008400000000001E-2</v>
      </c>
      <c r="AB13" s="25">
        <v>8.3712739999999994E-2</v>
      </c>
      <c r="AC13" s="25">
        <v>0.10742350000000001</v>
      </c>
      <c r="AD13" s="260"/>
      <c r="AF13" s="6"/>
      <c r="AH13" s="6"/>
      <c r="AJ13" s="6"/>
      <c r="AL13" s="6"/>
      <c r="AN13" s="6"/>
      <c r="AP13" s="6"/>
      <c r="AR13" s="6"/>
      <c r="AT13" s="6"/>
      <c r="AV13" s="6"/>
      <c r="AX13" s="6"/>
      <c r="AZ13" s="6"/>
      <c r="BB13" s="6"/>
      <c r="BD13" s="6"/>
      <c r="BF13" s="6"/>
      <c r="BH13" s="6"/>
      <c r="BJ13" s="6"/>
      <c r="BL13" s="6"/>
      <c r="BN13" s="6"/>
      <c r="BP13" s="6"/>
      <c r="BR13" s="6"/>
      <c r="BT13" s="6"/>
      <c r="BV13" s="6"/>
      <c r="BX13" s="6"/>
      <c r="BZ13" s="6"/>
      <c r="CB13" s="6"/>
      <c r="CD13" s="6"/>
      <c r="CF13" s="6"/>
      <c r="CH13" s="6"/>
      <c r="CJ13" s="6"/>
      <c r="CL13" s="6"/>
      <c r="CN13" s="6"/>
      <c r="CP13" s="6"/>
      <c r="CR13" s="6"/>
      <c r="CT13" s="6"/>
      <c r="CV13" s="6"/>
      <c r="CX13" s="6"/>
      <c r="CZ13" s="6"/>
      <c r="DB13" s="6"/>
      <c r="DD13" s="6"/>
      <c r="DF13" s="6"/>
      <c r="DH13" s="6"/>
      <c r="DJ13" s="6"/>
      <c r="DL13" s="6"/>
      <c r="DN13" s="6"/>
      <c r="DP13" s="6"/>
      <c r="DR13" s="6"/>
      <c r="DT13" s="6"/>
      <c r="DV13" s="6"/>
      <c r="DX13" s="6"/>
      <c r="DZ13" s="6"/>
      <c r="EB13" s="6"/>
      <c r="ED13" s="6"/>
      <c r="EF13" s="6"/>
      <c r="EH13" s="6"/>
      <c r="EJ13" s="6"/>
      <c r="EL13" s="6"/>
      <c r="EN13" s="6"/>
      <c r="EP13" s="6"/>
      <c r="ER13" s="6"/>
      <c r="ET13" s="6"/>
      <c r="EV13" s="6"/>
      <c r="EX13" s="6"/>
      <c r="EZ13" s="6"/>
      <c r="FB13" s="6"/>
      <c r="FD13" s="6"/>
      <c r="FF13" s="6"/>
    </row>
    <row r="14" spans="5:162">
      <c r="E14" s="421">
        <v>40574</v>
      </c>
      <c r="F14" s="25">
        <v>4.3608337640762329E-2</v>
      </c>
      <c r="G14" s="25">
        <v>8.8775314390659332E-2</v>
      </c>
      <c r="H14" s="25">
        <v>6.5360955893993378E-2</v>
      </c>
      <c r="I14" s="25">
        <v>-0.14620505273342133</v>
      </c>
      <c r="J14" s="25">
        <v>4.5172430574893951E-2</v>
      </c>
      <c r="K14" s="25">
        <v>1.4952383004128933E-2</v>
      </c>
      <c r="L14" s="25">
        <v>7.3649182915687561E-2</v>
      </c>
      <c r="M14" s="25">
        <v>0.10374300181865692</v>
      </c>
      <c r="N14" s="25">
        <v>-3.3729750663042068E-2</v>
      </c>
      <c r="O14" s="25"/>
      <c r="P14" s="421">
        <v>40574</v>
      </c>
      <c r="Q14" s="25">
        <v>-1.666937170025673E-2</v>
      </c>
      <c r="R14" s="25">
        <v>-2.8629234960807826E-2</v>
      </c>
      <c r="S14" s="6"/>
      <c r="T14" s="421">
        <v>40574</v>
      </c>
      <c r="U14" s="25">
        <v>3.7733679999999999E-2</v>
      </c>
      <c r="V14" s="287">
        <v>4.1609E-2</v>
      </c>
      <c r="W14" s="25">
        <v>6.62818E-3</v>
      </c>
      <c r="X14" s="25">
        <v>3.1546184601783045E-2</v>
      </c>
      <c r="Y14" s="25">
        <v>-0.14190630000000001</v>
      </c>
      <c r="Z14" s="25">
        <v>-0.10098739999999999</v>
      </c>
      <c r="AA14" s="25">
        <v>2.3430699999999999E-2</v>
      </c>
      <c r="AB14" s="25">
        <v>7.9172800000000005E-3</v>
      </c>
      <c r="AC14" s="25">
        <v>5.4189600000000004E-2</v>
      </c>
      <c r="AD14" s="260"/>
      <c r="AF14" s="6"/>
      <c r="AH14" s="6"/>
      <c r="AJ14" s="6"/>
      <c r="AL14" s="6"/>
      <c r="AN14" s="6"/>
      <c r="AP14" s="6"/>
      <c r="AR14" s="6"/>
      <c r="AT14" s="6"/>
      <c r="AV14" s="6"/>
      <c r="AX14" s="6"/>
      <c r="AZ14" s="6"/>
      <c r="BB14" s="6"/>
      <c r="BD14" s="6"/>
      <c r="BF14" s="6"/>
      <c r="BH14" s="6"/>
      <c r="BJ14" s="6"/>
      <c r="BL14" s="6"/>
      <c r="BN14" s="6"/>
      <c r="BP14" s="6"/>
      <c r="BR14" s="6"/>
      <c r="BT14" s="6"/>
      <c r="BV14" s="6"/>
      <c r="BX14" s="6"/>
      <c r="BZ14" s="6"/>
      <c r="CB14" s="6"/>
      <c r="CD14" s="6"/>
      <c r="CF14" s="6"/>
      <c r="CH14" s="6"/>
      <c r="CJ14" s="6"/>
      <c r="CL14" s="6"/>
      <c r="CN14" s="6"/>
      <c r="CP14" s="6"/>
      <c r="CR14" s="6"/>
      <c r="CT14" s="6"/>
      <c r="CV14" s="6"/>
      <c r="CX14" s="6"/>
      <c r="CZ14" s="6"/>
      <c r="DB14" s="6"/>
      <c r="DD14" s="6"/>
      <c r="DF14" s="6"/>
      <c r="DH14" s="6"/>
      <c r="DJ14" s="6"/>
      <c r="DL14" s="6"/>
      <c r="DN14" s="6"/>
      <c r="DP14" s="6"/>
      <c r="DR14" s="6"/>
      <c r="DT14" s="6"/>
      <c r="DV14" s="6"/>
      <c r="DX14" s="6"/>
      <c r="DZ14" s="6"/>
      <c r="EB14" s="6"/>
      <c r="ED14" s="6"/>
      <c r="EF14" s="6"/>
      <c r="EH14" s="6"/>
      <c r="EJ14" s="6"/>
      <c r="EL14" s="6"/>
      <c r="EN14" s="6"/>
      <c r="EP14" s="6"/>
      <c r="ER14" s="6"/>
      <c r="ET14" s="6"/>
      <c r="EV14" s="6"/>
      <c r="EX14" s="6"/>
      <c r="EZ14" s="6"/>
      <c r="FB14" s="6"/>
      <c r="FD14" s="6"/>
      <c r="FF14" s="6"/>
    </row>
    <row r="15" spans="5:162">
      <c r="E15" s="421">
        <v>40602</v>
      </c>
      <c r="F15" s="25">
        <v>0.10379427671432495</v>
      </c>
      <c r="G15" s="25">
        <v>-1.3876511948183179E-3</v>
      </c>
      <c r="H15" s="25">
        <v>4.5412324368953705E-2</v>
      </c>
      <c r="I15" s="25">
        <v>-4.270663857460022E-2</v>
      </c>
      <c r="J15" s="25">
        <v>0.12342927604913712</v>
      </c>
      <c r="K15" s="25">
        <v>4.6937726438045502E-2</v>
      </c>
      <c r="L15" s="25">
        <v>4.3772917240858078E-2</v>
      </c>
      <c r="M15" s="25">
        <v>3.0708408448845148E-3</v>
      </c>
      <c r="N15" s="25">
        <v>3.7147745490074158E-2</v>
      </c>
      <c r="O15" s="25"/>
      <c r="P15" s="421">
        <v>40602</v>
      </c>
      <c r="Q15" s="25">
        <v>1.1883841276930429E-2</v>
      </c>
      <c r="R15" s="25">
        <v>6.261340693602957E-4</v>
      </c>
      <c r="S15" s="6"/>
      <c r="T15" s="421">
        <v>40602</v>
      </c>
      <c r="U15" s="25">
        <v>2.8744139999999998E-2</v>
      </c>
      <c r="V15" s="287">
        <v>3.8015400000000005E-2</v>
      </c>
      <c r="W15" s="25">
        <v>2.0110860000000001E-2</v>
      </c>
      <c r="X15" s="25">
        <v>3.1762681896226219E-2</v>
      </c>
      <c r="Y15" s="25">
        <v>-0.13993169999999999</v>
      </c>
      <c r="Z15" s="25">
        <v>8.8367400000000013E-2</v>
      </c>
      <c r="AA15" s="25">
        <v>3.5241500000000002E-2</v>
      </c>
      <c r="AB15" s="25">
        <v>2.7162069999999996E-2</v>
      </c>
      <c r="AC15" s="25">
        <v>6.1847300000000001E-2</v>
      </c>
      <c r="AD15" s="260"/>
      <c r="AF15" s="6"/>
      <c r="AH15" s="6"/>
      <c r="AJ15" s="6"/>
      <c r="AL15" s="6"/>
      <c r="AN15" s="6"/>
      <c r="AP15" s="6"/>
      <c r="AR15" s="6"/>
      <c r="AT15" s="6"/>
      <c r="AV15" s="6"/>
      <c r="AX15" s="6"/>
      <c r="AZ15" s="6"/>
      <c r="BB15" s="6"/>
      <c r="BD15" s="6"/>
      <c r="BF15" s="6"/>
      <c r="BH15" s="6"/>
      <c r="BJ15" s="6"/>
      <c r="BL15" s="6"/>
      <c r="BN15" s="6"/>
      <c r="BP15" s="6"/>
      <c r="BR15" s="6"/>
      <c r="BT15" s="6"/>
      <c r="BV15" s="6"/>
      <c r="BX15" s="6"/>
      <c r="BZ15" s="6"/>
      <c r="CB15" s="6"/>
      <c r="CD15" s="6"/>
      <c r="CF15" s="6"/>
      <c r="CH15" s="6"/>
      <c r="CJ15" s="6"/>
      <c r="CL15" s="6"/>
      <c r="CN15" s="6"/>
      <c r="CP15" s="6"/>
      <c r="CR15" s="6"/>
      <c r="CT15" s="6"/>
      <c r="CV15" s="6"/>
      <c r="CX15" s="6"/>
      <c r="CZ15" s="6"/>
      <c r="DB15" s="6"/>
      <c r="DD15" s="6"/>
      <c r="DF15" s="6"/>
      <c r="DH15" s="6"/>
      <c r="DJ15" s="6"/>
      <c r="DL15" s="6"/>
      <c r="DN15" s="6"/>
      <c r="DP15" s="6"/>
      <c r="DR15" s="6"/>
      <c r="DT15" s="6"/>
      <c r="DV15" s="6"/>
      <c r="DX15" s="6"/>
      <c r="DZ15" s="6"/>
      <c r="EB15" s="6"/>
      <c r="ED15" s="6"/>
      <c r="EF15" s="6"/>
      <c r="EH15" s="6"/>
      <c r="EJ15" s="6"/>
      <c r="EL15" s="6"/>
      <c r="EN15" s="6"/>
      <c r="EP15" s="6"/>
      <c r="ER15" s="6"/>
      <c r="ET15" s="6"/>
      <c r="EV15" s="6"/>
      <c r="EX15" s="6"/>
      <c r="EZ15" s="6"/>
      <c r="FB15" s="6"/>
      <c r="FD15" s="6"/>
      <c r="FF15" s="6"/>
    </row>
    <row r="16" spans="5:162">
      <c r="E16" s="421">
        <v>40633</v>
      </c>
      <c r="F16" s="25">
        <v>0.10368161648511887</v>
      </c>
      <c r="G16" s="25">
        <v>0.25972974300384521</v>
      </c>
      <c r="H16" s="25">
        <v>-9.5655865967273712E-2</v>
      </c>
      <c r="I16" s="25">
        <v>0.17016640305519104</v>
      </c>
      <c r="J16" s="25">
        <v>-0.12519815564155579</v>
      </c>
      <c r="K16" s="25">
        <v>-2.0639605820178986E-2</v>
      </c>
      <c r="L16" s="25">
        <v>-3.8940582424402237E-2</v>
      </c>
      <c r="M16" s="25">
        <v>7.2511308826506138E-3</v>
      </c>
      <c r="N16" s="25">
        <v>-3.5744532942771912E-2</v>
      </c>
      <c r="O16" s="25"/>
      <c r="P16" s="421">
        <v>40633</v>
      </c>
      <c r="Q16" s="25">
        <v>-1.727099145085953E-3</v>
      </c>
      <c r="R16" s="25">
        <v>1.5426462512929895E-2</v>
      </c>
      <c r="S16" s="6"/>
      <c r="T16" s="421">
        <v>40633</v>
      </c>
      <c r="U16" s="25">
        <v>1.2455039999999999E-2</v>
      </c>
      <c r="V16" s="287">
        <v>9.4059199999999996E-2</v>
      </c>
      <c r="W16" s="25">
        <v>-1.3909199999999999E-3</v>
      </c>
      <c r="X16" s="25">
        <v>3.6811572408275151E-3</v>
      </c>
      <c r="Y16" s="25">
        <v>-4.4011500000000002E-2</v>
      </c>
      <c r="Z16" s="25">
        <v>-1.3761499999999999E-2</v>
      </c>
      <c r="AA16" s="25">
        <v>-1.24458E-2</v>
      </c>
      <c r="AB16" s="25">
        <v>-9.7505200000000004E-3</v>
      </c>
      <c r="AC16" s="25">
        <v>1.3331900000000001E-2</v>
      </c>
      <c r="AD16" s="260"/>
      <c r="AF16" s="6"/>
      <c r="AH16" s="6"/>
      <c r="AJ16" s="6"/>
      <c r="AL16" s="6"/>
      <c r="AN16" s="6"/>
      <c r="AP16" s="6"/>
      <c r="AR16" s="6"/>
      <c r="AT16" s="6"/>
      <c r="AV16" s="6"/>
      <c r="AX16" s="6"/>
      <c r="AZ16" s="6"/>
      <c r="BB16" s="6"/>
      <c r="BD16" s="6"/>
      <c r="BF16" s="6"/>
      <c r="BH16" s="6"/>
      <c r="BJ16" s="6"/>
      <c r="BL16" s="6"/>
      <c r="BN16" s="6"/>
      <c r="BP16" s="6"/>
      <c r="BR16" s="6"/>
      <c r="BT16" s="6"/>
      <c r="BV16" s="6"/>
      <c r="BX16" s="6"/>
      <c r="BZ16" s="6"/>
      <c r="CB16" s="6"/>
      <c r="CD16" s="6"/>
      <c r="CF16" s="6"/>
      <c r="CH16" s="6"/>
      <c r="CJ16" s="6"/>
      <c r="CL16" s="6"/>
      <c r="CN16" s="6"/>
      <c r="CP16" s="6"/>
      <c r="CR16" s="6"/>
      <c r="CT16" s="6"/>
      <c r="CV16" s="6"/>
      <c r="CX16" s="6"/>
      <c r="CZ16" s="6"/>
      <c r="DB16" s="6"/>
      <c r="DD16" s="6"/>
      <c r="DF16" s="6"/>
      <c r="DH16" s="6"/>
      <c r="DJ16" s="6"/>
      <c r="DL16" s="6"/>
      <c r="DN16" s="6"/>
      <c r="DP16" s="6"/>
      <c r="DR16" s="6"/>
      <c r="DT16" s="6"/>
      <c r="DV16" s="6"/>
      <c r="DX16" s="6"/>
      <c r="DZ16" s="6"/>
      <c r="EB16" s="6"/>
      <c r="ED16" s="6"/>
      <c r="EF16" s="6"/>
      <c r="EH16" s="6"/>
      <c r="EJ16" s="6"/>
      <c r="EL16" s="6"/>
      <c r="EN16" s="6"/>
      <c r="EP16" s="6"/>
      <c r="ER16" s="6"/>
      <c r="ET16" s="6"/>
      <c r="EV16" s="6"/>
      <c r="EX16" s="6"/>
      <c r="EZ16" s="6"/>
      <c r="FB16" s="6"/>
      <c r="FD16" s="6"/>
      <c r="FF16" s="6"/>
    </row>
    <row r="17" spans="2:162">
      <c r="E17" s="421">
        <v>40663</v>
      </c>
      <c r="F17" s="25">
        <v>5.0350245088338852E-2</v>
      </c>
      <c r="G17" s="25">
        <v>-0.18102307617664337</v>
      </c>
      <c r="H17" s="25">
        <v>6.0143981128931046E-2</v>
      </c>
      <c r="I17" s="25">
        <v>-6.9666438503190875E-4</v>
      </c>
      <c r="J17" s="25">
        <v>-1.5144772827625275E-2</v>
      </c>
      <c r="K17" s="25">
        <v>-4.0876004844903946E-2</v>
      </c>
      <c r="L17" s="25">
        <v>1.1761157773435116E-2</v>
      </c>
      <c r="M17" s="25">
        <v>4.605383425951004E-2</v>
      </c>
      <c r="N17" s="25">
        <v>0.10919830948114395</v>
      </c>
      <c r="O17" s="25"/>
      <c r="P17" s="421">
        <v>40663</v>
      </c>
      <c r="Q17" s="25">
        <v>1.4354917772801068E-2</v>
      </c>
      <c r="R17" s="25">
        <v>7.5268817204301453E-3</v>
      </c>
      <c r="S17" s="6"/>
      <c r="T17" s="421">
        <v>40663</v>
      </c>
      <c r="U17" s="25">
        <v>7.4233049999999995E-2</v>
      </c>
      <c r="V17" s="287">
        <v>-1.9689999999999999E-2</v>
      </c>
      <c r="W17" s="25">
        <v>3.7456900000000001E-2</v>
      </c>
      <c r="X17" s="25">
        <v>4.1559881450940361E-2</v>
      </c>
      <c r="Y17" s="25">
        <v>-3.2452800000000004E-2</v>
      </c>
      <c r="Z17" s="25">
        <v>2.1395300000000003E-2</v>
      </c>
      <c r="AA17" s="25">
        <v>4.2289800000000002E-2</v>
      </c>
      <c r="AB17" s="25">
        <v>5.4458300000000001E-2</v>
      </c>
      <c r="AC17" s="25">
        <v>8.1419200000000011E-2</v>
      </c>
      <c r="AD17" s="260"/>
      <c r="AF17" s="6"/>
      <c r="AH17" s="6"/>
      <c r="AJ17" s="6"/>
      <c r="AL17" s="6"/>
      <c r="AN17" s="6"/>
      <c r="AP17" s="6"/>
      <c r="AR17" s="6"/>
      <c r="AT17" s="6"/>
      <c r="AV17" s="6"/>
      <c r="AX17" s="6"/>
      <c r="AZ17" s="6"/>
      <c r="BB17" s="6"/>
      <c r="BD17" s="6"/>
      <c r="BF17" s="6"/>
      <c r="BH17" s="6"/>
      <c r="BJ17" s="6"/>
      <c r="BL17" s="6"/>
      <c r="BN17" s="6"/>
      <c r="BP17" s="6"/>
      <c r="BR17" s="6"/>
      <c r="BT17" s="6"/>
      <c r="BV17" s="6"/>
      <c r="BX17" s="6"/>
      <c r="BZ17" s="6"/>
      <c r="CB17" s="6"/>
      <c r="CD17" s="6"/>
      <c r="CF17" s="6"/>
      <c r="CH17" s="6"/>
      <c r="CJ17" s="6"/>
      <c r="CL17" s="6"/>
      <c r="CN17" s="6"/>
      <c r="CP17" s="6"/>
      <c r="CR17" s="6"/>
      <c r="CT17" s="6"/>
      <c r="CV17" s="6"/>
      <c r="CX17" s="6"/>
      <c r="CZ17" s="6"/>
      <c r="DB17" s="6"/>
      <c r="DD17" s="6"/>
      <c r="DF17" s="6"/>
      <c r="DH17" s="6"/>
      <c r="DJ17" s="6"/>
      <c r="DL17" s="6"/>
      <c r="DN17" s="6"/>
      <c r="DP17" s="6"/>
      <c r="DR17" s="6"/>
      <c r="DT17" s="6"/>
      <c r="DV17" s="6"/>
      <c r="DX17" s="6"/>
      <c r="DZ17" s="6"/>
      <c r="EB17" s="6"/>
      <c r="ED17" s="6"/>
      <c r="EF17" s="6"/>
      <c r="EH17" s="6"/>
      <c r="EJ17" s="6"/>
      <c r="EL17" s="6"/>
      <c r="EN17" s="6"/>
      <c r="EP17" s="6"/>
      <c r="ER17" s="6"/>
      <c r="ET17" s="6"/>
      <c r="EV17" s="6"/>
      <c r="EX17" s="6"/>
      <c r="EZ17" s="6"/>
      <c r="FB17" s="6"/>
      <c r="FD17" s="6"/>
      <c r="FF17" s="6"/>
    </row>
    <row r="18" spans="2:162">
      <c r="E18" s="421">
        <v>40694</v>
      </c>
      <c r="F18" s="25">
        <v>-0.1225510835647583</v>
      </c>
      <c r="G18" s="25">
        <v>-0.15322484076023102</v>
      </c>
      <c r="H18" s="25">
        <v>8.7378118187189102E-3</v>
      </c>
      <c r="I18" s="25">
        <v>-0.13076105713844299</v>
      </c>
      <c r="J18" s="25">
        <v>5.1332909613847733E-2</v>
      </c>
      <c r="K18" s="25">
        <v>-6.7054219543933868E-2</v>
      </c>
      <c r="L18" s="25">
        <v>3.2190758734941483E-2</v>
      </c>
      <c r="M18" s="25">
        <v>-5.2750660106539726E-3</v>
      </c>
      <c r="N18" s="25">
        <v>3.2798048108816147E-2</v>
      </c>
      <c r="O18" s="25"/>
      <c r="P18" s="421">
        <v>40694</v>
      </c>
      <c r="Q18" s="25">
        <v>2.2850347516688796E-2</v>
      </c>
      <c r="R18" s="25">
        <v>3.0406860266996016E-2</v>
      </c>
      <c r="S18" s="6"/>
      <c r="T18" s="421">
        <v>40694</v>
      </c>
      <c r="U18" s="25">
        <v>-4.0210160000000002E-2</v>
      </c>
      <c r="V18" s="287">
        <v>-7.9860399999999998E-2</v>
      </c>
      <c r="W18" s="25">
        <v>-1.25688E-2</v>
      </c>
      <c r="X18" s="25">
        <v>-2.4673289731310666E-2</v>
      </c>
      <c r="Y18" s="25">
        <v>7.7223100000000003E-2</v>
      </c>
      <c r="Z18" s="25">
        <v>-8.0145700000000014E-2</v>
      </c>
      <c r="AA18" s="25">
        <v>-2.0167099999999997E-2</v>
      </c>
      <c r="AB18" s="25">
        <v>-3.3204250000000005E-2</v>
      </c>
      <c r="AC18" s="25">
        <v>-3.3406499999999999E-2</v>
      </c>
      <c r="AD18" s="260"/>
      <c r="AF18" s="6"/>
      <c r="AH18" s="6"/>
      <c r="AJ18" s="6"/>
      <c r="AL18" s="6"/>
      <c r="AN18" s="6"/>
      <c r="AP18" s="6"/>
      <c r="AR18" s="6"/>
      <c r="AT18" s="6"/>
      <c r="AV18" s="6"/>
      <c r="AX18" s="6"/>
      <c r="AZ18" s="6"/>
      <c r="BB18" s="6"/>
      <c r="BD18" s="6"/>
      <c r="BF18" s="6"/>
      <c r="BH18" s="6"/>
      <c r="BJ18" s="6"/>
      <c r="BL18" s="6"/>
      <c r="BN18" s="6"/>
      <c r="BP18" s="6"/>
      <c r="BR18" s="6"/>
      <c r="BT18" s="6"/>
      <c r="BV18" s="6"/>
      <c r="BX18" s="6"/>
      <c r="BZ18" s="6"/>
      <c r="CB18" s="6"/>
      <c r="CD18" s="6"/>
      <c r="CF18" s="6"/>
      <c r="CH18" s="6"/>
      <c r="CJ18" s="6"/>
      <c r="CL18" s="6"/>
      <c r="CN18" s="6"/>
      <c r="CP18" s="6"/>
      <c r="CR18" s="6"/>
      <c r="CT18" s="6"/>
      <c r="CV18" s="6"/>
      <c r="CX18" s="6"/>
      <c r="CZ18" s="6"/>
      <c r="DB18" s="6"/>
      <c r="DD18" s="6"/>
      <c r="DF18" s="6"/>
      <c r="DH18" s="6"/>
      <c r="DJ18" s="6"/>
      <c r="DL18" s="6"/>
      <c r="DN18" s="6"/>
      <c r="DP18" s="6"/>
      <c r="DR18" s="6"/>
      <c r="DT18" s="6"/>
      <c r="DV18" s="6"/>
      <c r="DX18" s="6"/>
      <c r="DZ18" s="6"/>
      <c r="EB18" s="6"/>
      <c r="ED18" s="6"/>
      <c r="EF18" s="6"/>
      <c r="EH18" s="6"/>
      <c r="EJ18" s="6"/>
      <c r="EL18" s="6"/>
      <c r="EN18" s="6"/>
      <c r="EP18" s="6"/>
      <c r="ER18" s="6"/>
      <c r="ET18" s="6"/>
      <c r="EV18" s="6"/>
      <c r="EX18" s="6"/>
      <c r="EZ18" s="6"/>
      <c r="FB18" s="6"/>
      <c r="FD18" s="6"/>
      <c r="FF18" s="6"/>
    </row>
    <row r="19" spans="2:162">
      <c r="E19" s="421">
        <v>40724</v>
      </c>
      <c r="F19" s="25">
        <v>1.9002810586243868E-3</v>
      </c>
      <c r="G19" s="25">
        <v>-0.22881348431110382</v>
      </c>
      <c r="H19" s="25">
        <v>-4.4812750071287155E-2</v>
      </c>
      <c r="I19" s="25">
        <v>-8.5349157452583313E-2</v>
      </c>
      <c r="J19" s="25">
        <v>-2.3644760251045227E-2</v>
      </c>
      <c r="K19" s="25">
        <v>-7.3373690247535706E-2</v>
      </c>
      <c r="L19" s="25">
        <v>-9.1827891767024994E-2</v>
      </c>
      <c r="M19" s="25">
        <v>1.5509380027651787E-2</v>
      </c>
      <c r="N19" s="25">
        <v>-1.1443008668720722E-2</v>
      </c>
      <c r="O19" s="25"/>
      <c r="P19" s="421">
        <v>40724</v>
      </c>
      <c r="Q19" s="25">
        <v>-2.0195282826598437E-2</v>
      </c>
      <c r="R19" s="25">
        <v>-4.2350347367337116E-2</v>
      </c>
      <c r="S19" s="6"/>
      <c r="T19" s="421">
        <v>40724</v>
      </c>
      <c r="U19" s="25">
        <v>-1.349654E-2</v>
      </c>
      <c r="V19" s="287">
        <v>-3.1852699999999998E-2</v>
      </c>
      <c r="W19" s="25">
        <v>-1.6906609999999999E-2</v>
      </c>
      <c r="X19" s="25">
        <v>-1.9036715782131175E-2</v>
      </c>
      <c r="Y19" s="25">
        <v>1.99131E-2</v>
      </c>
      <c r="Z19" s="25">
        <v>-9.5544600000000007E-2</v>
      </c>
      <c r="AA19" s="25">
        <v>-1.55715E-2</v>
      </c>
      <c r="AB19" s="25">
        <v>-2.0874700000000003E-2</v>
      </c>
      <c r="AC19" s="25">
        <v>-2.5482300000000003E-2</v>
      </c>
      <c r="AD19" s="260"/>
      <c r="AF19" s="6"/>
      <c r="AH19" s="6"/>
      <c r="AJ19" s="6"/>
      <c r="AL19" s="6"/>
      <c r="AN19" s="6"/>
      <c r="AP19" s="6"/>
      <c r="AR19" s="6"/>
      <c r="AT19" s="6"/>
      <c r="AV19" s="6"/>
      <c r="AX19" s="6"/>
      <c r="AZ19" s="6"/>
      <c r="BB19" s="6"/>
      <c r="BD19" s="6"/>
      <c r="BF19" s="6"/>
      <c r="BH19" s="6"/>
      <c r="BJ19" s="6"/>
      <c r="BL19" s="6"/>
      <c r="BN19" s="6"/>
      <c r="BP19" s="6"/>
      <c r="BR19" s="6"/>
      <c r="BT19" s="6"/>
      <c r="BV19" s="6"/>
      <c r="BX19" s="6"/>
      <c r="BZ19" s="6"/>
      <c r="CB19" s="6"/>
      <c r="CD19" s="6"/>
      <c r="CF19" s="6"/>
      <c r="CH19" s="6"/>
      <c r="CJ19" s="6"/>
      <c r="CL19" s="6"/>
      <c r="CN19" s="6"/>
      <c r="CP19" s="6"/>
      <c r="CR19" s="6"/>
      <c r="CT19" s="6"/>
      <c r="CV19" s="6"/>
      <c r="CX19" s="6"/>
      <c r="CZ19" s="6"/>
      <c r="DB19" s="6"/>
      <c r="DD19" s="6"/>
      <c r="DF19" s="6"/>
      <c r="DH19" s="6"/>
      <c r="DJ19" s="6"/>
      <c r="DL19" s="6"/>
      <c r="DN19" s="6"/>
      <c r="DP19" s="6"/>
      <c r="DR19" s="6"/>
      <c r="DT19" s="6"/>
      <c r="DV19" s="6"/>
      <c r="DX19" s="6"/>
      <c r="DZ19" s="6"/>
      <c r="EB19" s="6"/>
      <c r="ED19" s="6"/>
      <c r="EF19" s="6"/>
      <c r="EH19" s="6"/>
      <c r="EJ19" s="6"/>
      <c r="EL19" s="6"/>
      <c r="EN19" s="6"/>
      <c r="EP19" s="6"/>
      <c r="ER19" s="6"/>
      <c r="ET19" s="6"/>
      <c r="EV19" s="6"/>
      <c r="EX19" s="6"/>
      <c r="EZ19" s="6"/>
      <c r="FB19" s="6"/>
      <c r="FD19" s="6"/>
      <c r="FF19" s="6"/>
    </row>
    <row r="20" spans="2:162">
      <c r="E20" s="421">
        <v>40755</v>
      </c>
      <c r="F20" s="25">
        <v>-1.1853959411382675E-2</v>
      </c>
      <c r="G20" s="25">
        <v>-4.8468265682458878E-2</v>
      </c>
      <c r="H20" s="25">
        <v>2.7694474905729294E-2</v>
      </c>
      <c r="I20" s="25">
        <v>-1.5700085088610649E-2</v>
      </c>
      <c r="J20" s="25">
        <v>2.8350591310299933E-4</v>
      </c>
      <c r="K20" s="25">
        <v>-2.8999542817473412E-2</v>
      </c>
      <c r="L20" s="25">
        <v>-0.11891891807317734</v>
      </c>
      <c r="M20" s="25">
        <v>6.0040801763534546E-2</v>
      </c>
      <c r="N20" s="25">
        <v>-2.6007216423749924E-2</v>
      </c>
      <c r="O20" s="25"/>
      <c r="P20" s="421">
        <v>40755</v>
      </c>
      <c r="Q20" s="25">
        <v>5.0956829226783684E-2</v>
      </c>
      <c r="R20" s="25">
        <v>3.1782274029612978E-2</v>
      </c>
      <c r="S20" s="6"/>
      <c r="T20" s="421">
        <v>40755</v>
      </c>
      <c r="U20" s="25">
        <v>-2.7424900000000002E-2</v>
      </c>
      <c r="V20" s="287">
        <v>-9.1147800000000001E-2</v>
      </c>
      <c r="W20" s="25">
        <v>-3.1031089999999997E-2</v>
      </c>
      <c r="X20" s="25">
        <v>-3.1496155819449312E-2</v>
      </c>
      <c r="Y20" s="25">
        <v>-3.2658900000000005E-2</v>
      </c>
      <c r="Z20" s="25">
        <v>4.2145599999999998E-2</v>
      </c>
      <c r="AA20" s="25">
        <v>-1.9722799999999999E-2</v>
      </c>
      <c r="AB20" s="25">
        <v>-3.7820360000000004E-2</v>
      </c>
      <c r="AC20" s="25">
        <v>-4.5415999999999998E-2</v>
      </c>
      <c r="AD20" s="260"/>
      <c r="AF20" s="6"/>
      <c r="AH20" s="6"/>
      <c r="AJ20" s="6"/>
      <c r="AL20" s="6"/>
      <c r="AN20" s="6"/>
      <c r="AP20" s="6"/>
      <c r="AR20" s="6"/>
      <c r="AT20" s="6"/>
      <c r="AV20" s="6"/>
      <c r="AX20" s="6"/>
      <c r="AZ20" s="6"/>
      <c r="BB20" s="6"/>
      <c r="BD20" s="6"/>
      <c r="BF20" s="6"/>
      <c r="BH20" s="6"/>
      <c r="BJ20" s="6"/>
      <c r="BL20" s="6"/>
      <c r="BN20" s="6"/>
      <c r="BP20" s="6"/>
      <c r="BR20" s="6"/>
      <c r="BT20" s="6"/>
      <c r="BV20" s="6"/>
      <c r="BX20" s="6"/>
      <c r="BZ20" s="6"/>
      <c r="CB20" s="6"/>
      <c r="CD20" s="6"/>
      <c r="CF20" s="6"/>
      <c r="CH20" s="6"/>
      <c r="CJ20" s="6"/>
      <c r="CL20" s="6"/>
      <c r="CN20" s="6"/>
      <c r="CP20" s="6"/>
      <c r="CR20" s="6"/>
      <c r="CT20" s="6"/>
      <c r="CV20" s="6"/>
      <c r="CX20" s="6"/>
      <c r="CZ20" s="6"/>
      <c r="DB20" s="6"/>
      <c r="DD20" s="6"/>
      <c r="DF20" s="6"/>
      <c r="DH20" s="6"/>
      <c r="DJ20" s="6"/>
      <c r="DL20" s="6"/>
      <c r="DN20" s="6"/>
      <c r="DP20" s="6"/>
      <c r="DR20" s="6"/>
      <c r="DT20" s="6"/>
      <c r="DV20" s="6"/>
      <c r="DX20" s="6"/>
      <c r="DZ20" s="6"/>
      <c r="EB20" s="6"/>
      <c r="ED20" s="6"/>
      <c r="EF20" s="6"/>
      <c r="EH20" s="6"/>
      <c r="EJ20" s="6"/>
      <c r="EL20" s="6"/>
      <c r="EN20" s="6"/>
      <c r="EP20" s="6"/>
      <c r="ER20" s="6"/>
      <c r="ET20" s="6"/>
      <c r="EV20" s="6"/>
      <c r="EX20" s="6"/>
      <c r="EZ20" s="6"/>
      <c r="FB20" s="6"/>
      <c r="FD20" s="6"/>
      <c r="FF20" s="6"/>
    </row>
    <row r="21" spans="2:162">
      <c r="E21" s="421">
        <v>40786</v>
      </c>
      <c r="F21" s="25">
        <v>-0.14477367699146271</v>
      </c>
      <c r="G21" s="25">
        <v>-4.6896159648895264E-2</v>
      </c>
      <c r="H21" s="25">
        <v>-0.12552544474601746</v>
      </c>
      <c r="I21" s="25">
        <v>-0.24878916144371033</v>
      </c>
      <c r="J21" s="25">
        <v>-0.12538155913352966</v>
      </c>
      <c r="K21" s="25">
        <v>-0.14945842325687408</v>
      </c>
      <c r="L21" s="25">
        <v>-8.9237496256828308E-2</v>
      </c>
      <c r="M21" s="25">
        <v>-5.0494972616434097E-2</v>
      </c>
      <c r="N21" s="25">
        <v>2.4494513869285583E-2</v>
      </c>
      <c r="O21" s="25"/>
      <c r="P21" s="421">
        <v>40786</v>
      </c>
      <c r="Q21" s="25">
        <v>6.9861590294677312E-2</v>
      </c>
      <c r="R21" s="25">
        <v>6.9005467964593059E-2</v>
      </c>
      <c r="S21" s="6"/>
      <c r="T21" s="421">
        <v>40786</v>
      </c>
      <c r="U21" s="25">
        <v>-0.14414146999999999</v>
      </c>
      <c r="V21" s="287">
        <v>-9.5027799999999996E-2</v>
      </c>
      <c r="W21" s="25">
        <v>-5.9213209999999995E-2</v>
      </c>
      <c r="X21" s="25">
        <v>-6.9309962378417578E-2</v>
      </c>
      <c r="Y21" s="25">
        <v>0.13614680000000001</v>
      </c>
      <c r="Z21" s="25">
        <v>-1.10294E-2</v>
      </c>
      <c r="AA21" s="25">
        <v>-7.2060600000000002E-2</v>
      </c>
      <c r="AB21" s="25">
        <v>-9.0375159999999996E-2</v>
      </c>
      <c r="AC21" s="25">
        <v>-9.3822799999999998E-2</v>
      </c>
      <c r="AD21" s="260"/>
      <c r="AF21" s="6"/>
      <c r="AH21" s="6"/>
      <c r="AJ21" s="6"/>
      <c r="AL21" s="6"/>
      <c r="AN21" s="6"/>
      <c r="AP21" s="6"/>
      <c r="AR21" s="6"/>
      <c r="AT21" s="6"/>
      <c r="AV21" s="6"/>
      <c r="AX21" s="6"/>
      <c r="AZ21" s="6"/>
      <c r="BB21" s="6"/>
      <c r="BD21" s="6"/>
      <c r="BF21" s="6"/>
      <c r="BH21" s="6"/>
      <c r="BJ21" s="6"/>
      <c r="BL21" s="6"/>
      <c r="BN21" s="6"/>
      <c r="BP21" s="6"/>
      <c r="BR21" s="6"/>
      <c r="BT21" s="6"/>
      <c r="BV21" s="6"/>
      <c r="BX21" s="6"/>
      <c r="BZ21" s="6"/>
      <c r="CB21" s="6"/>
      <c r="CD21" s="6"/>
      <c r="CF21" s="6"/>
      <c r="CH21" s="6"/>
      <c r="CJ21" s="6"/>
      <c r="CL21" s="6"/>
      <c r="CN21" s="6"/>
      <c r="CP21" s="6"/>
      <c r="CR21" s="6"/>
      <c r="CT21" s="6"/>
      <c r="CV21" s="6"/>
      <c r="CX21" s="6"/>
      <c r="CZ21" s="6"/>
      <c r="DB21" s="6"/>
      <c r="DD21" s="6"/>
      <c r="DF21" s="6"/>
      <c r="DH21" s="6"/>
      <c r="DJ21" s="6"/>
      <c r="DL21" s="6"/>
      <c r="DN21" s="6"/>
      <c r="DP21" s="6"/>
      <c r="DR21" s="6"/>
      <c r="DT21" s="6"/>
      <c r="DV21" s="6"/>
      <c r="DX21" s="6"/>
      <c r="DZ21" s="6"/>
      <c r="EB21" s="6"/>
      <c r="ED21" s="6"/>
      <c r="EF21" s="6"/>
      <c r="EH21" s="6"/>
      <c r="EJ21" s="6"/>
      <c r="EL21" s="6"/>
      <c r="EN21" s="6"/>
      <c r="EP21" s="6"/>
      <c r="ER21" s="6"/>
      <c r="ET21" s="6"/>
      <c r="EV21" s="6"/>
      <c r="EX21" s="6"/>
      <c r="EZ21" s="6"/>
      <c r="FB21" s="6"/>
      <c r="FD21" s="6"/>
      <c r="FF21" s="6"/>
    </row>
    <row r="22" spans="2:162">
      <c r="E22" s="421">
        <v>40816</v>
      </c>
      <c r="F22" s="25">
        <v>-0.21654981374740601</v>
      </c>
      <c r="G22" s="25">
        <v>-0.22290812432765961</v>
      </c>
      <c r="H22" s="25">
        <v>-7.6423346996307373E-2</v>
      </c>
      <c r="I22" s="25">
        <v>-1.1654149740934372E-2</v>
      </c>
      <c r="J22" s="25">
        <v>-1.7317973077297211E-2</v>
      </c>
      <c r="K22" s="25">
        <v>-0.14278250932693481</v>
      </c>
      <c r="L22" s="25">
        <v>-4.2393025010824203E-2</v>
      </c>
      <c r="M22" s="25">
        <v>1.7218306660652161E-2</v>
      </c>
      <c r="N22" s="25">
        <v>-3.2066870480775833E-2</v>
      </c>
      <c r="O22" s="25"/>
      <c r="P22" s="421">
        <v>40816</v>
      </c>
      <c r="Q22" s="25">
        <v>2.9300964505848404E-2</v>
      </c>
      <c r="R22" s="25">
        <v>1.9743217748825703E-2</v>
      </c>
      <c r="S22" s="6"/>
      <c r="T22" s="421">
        <v>40816</v>
      </c>
      <c r="U22" s="25">
        <v>-8.0367149999999998E-2</v>
      </c>
      <c r="V22" s="287">
        <v>-0.29215440000000004</v>
      </c>
      <c r="W22" s="25">
        <v>-0.10025181</v>
      </c>
      <c r="X22" s="25">
        <v>-9.6962560259445163E-2</v>
      </c>
      <c r="Y22" s="25">
        <v>0.27583980000000002</v>
      </c>
      <c r="Z22" s="25">
        <v>-0.16569299999999998</v>
      </c>
      <c r="AA22" s="25">
        <v>-8.5938500000000001E-2</v>
      </c>
      <c r="AB22" s="25">
        <v>-9.4264749999999994E-2</v>
      </c>
      <c r="AC22" s="25">
        <v>-0.1225064</v>
      </c>
      <c r="AD22" s="260"/>
      <c r="AF22" s="6"/>
      <c r="AH22" s="6"/>
      <c r="AJ22" s="6"/>
      <c r="AL22" s="6"/>
      <c r="AN22" s="6"/>
      <c r="AP22" s="6"/>
      <c r="AR22" s="6"/>
      <c r="AT22" s="6"/>
      <c r="AV22" s="6"/>
      <c r="AX22" s="6"/>
      <c r="AZ22" s="6"/>
      <c r="BB22" s="6"/>
      <c r="BD22" s="6"/>
      <c r="BF22" s="6"/>
      <c r="BH22" s="6"/>
      <c r="BJ22" s="6"/>
      <c r="BL22" s="6"/>
      <c r="BN22" s="6"/>
      <c r="BP22" s="6"/>
      <c r="BR22" s="6"/>
      <c r="BT22" s="6"/>
      <c r="BV22" s="6"/>
      <c r="BX22" s="6"/>
      <c r="BZ22" s="6"/>
      <c r="CB22" s="6"/>
      <c r="CD22" s="6"/>
      <c r="CF22" s="6"/>
      <c r="CH22" s="6"/>
      <c r="CJ22" s="6"/>
      <c r="CL22" s="6"/>
      <c r="CN22" s="6"/>
      <c r="CP22" s="6"/>
      <c r="CR22" s="6"/>
      <c r="CT22" s="6"/>
      <c r="CV22" s="6"/>
      <c r="CX22" s="6"/>
      <c r="CZ22" s="6"/>
      <c r="DB22" s="6"/>
      <c r="DD22" s="6"/>
      <c r="DF22" s="6"/>
      <c r="DH22" s="6"/>
      <c r="DJ22" s="6"/>
      <c r="DL22" s="6"/>
      <c r="DN22" s="6"/>
      <c r="DP22" s="6"/>
      <c r="DR22" s="6"/>
      <c r="DT22" s="6"/>
      <c r="DV22" s="6"/>
      <c r="DX22" s="6"/>
      <c r="DZ22" s="6"/>
      <c r="EB22" s="6"/>
      <c r="ED22" s="6"/>
      <c r="EF22" s="6"/>
      <c r="EH22" s="6"/>
      <c r="EJ22" s="6"/>
      <c r="EL22" s="6"/>
      <c r="EN22" s="6"/>
      <c r="EP22" s="6"/>
      <c r="ER22" s="6"/>
      <c r="ET22" s="6"/>
      <c r="EV22" s="6"/>
      <c r="EX22" s="6"/>
      <c r="EZ22" s="6"/>
      <c r="FB22" s="6"/>
      <c r="FD22" s="6"/>
      <c r="FF22" s="6"/>
    </row>
    <row r="23" spans="2:162">
      <c r="B23" s="123"/>
      <c r="E23" s="421">
        <v>40847</v>
      </c>
      <c r="F23" s="25">
        <v>0.22466886043548584</v>
      </c>
      <c r="G23" s="25">
        <v>-3.4203357994556427E-2</v>
      </c>
      <c r="H23" s="25">
        <v>0.22949913144111633</v>
      </c>
      <c r="I23" s="25">
        <v>0.27902090549468994</v>
      </c>
      <c r="J23" s="25">
        <v>-2.7662565931677818E-2</v>
      </c>
      <c r="K23" s="25">
        <v>0.15810450911521912</v>
      </c>
      <c r="L23" s="25">
        <v>0.21679767966270447</v>
      </c>
      <c r="M23" s="25">
        <v>5.5812887847423553E-2</v>
      </c>
      <c r="N23" s="25">
        <v>1.0990736074745655E-2</v>
      </c>
      <c r="O23" s="25"/>
      <c r="P23" s="421">
        <v>40847</v>
      </c>
      <c r="Q23" s="25">
        <v>-2.477012879323226E-2</v>
      </c>
      <c r="R23" s="25">
        <v>2.6845562103558374E-2</v>
      </c>
      <c r="S23" s="6"/>
      <c r="T23" s="421">
        <v>40847</v>
      </c>
      <c r="U23" s="25">
        <v>0.13526617999999999</v>
      </c>
      <c r="V23" s="287">
        <v>5.7485700000000001E-2</v>
      </c>
      <c r="W23" s="25">
        <v>9.1471579999999997E-2</v>
      </c>
      <c r="X23" s="25">
        <v>0.1217009524193433</v>
      </c>
      <c r="Y23" s="25">
        <v>-0.3040506</v>
      </c>
      <c r="Z23" s="25">
        <v>9.7390199999999996E-2</v>
      </c>
      <c r="AA23" s="25">
        <v>0.1042193</v>
      </c>
      <c r="AB23" s="25">
        <v>0.10122566000000001</v>
      </c>
      <c r="AC23" s="25">
        <v>0.19581589999999999</v>
      </c>
      <c r="AD23" s="260"/>
      <c r="AF23" s="6"/>
      <c r="AH23" s="6"/>
      <c r="AJ23" s="6"/>
      <c r="AL23" s="6"/>
      <c r="AN23" s="6"/>
      <c r="AP23" s="6"/>
      <c r="AR23" s="6"/>
      <c r="AT23" s="6"/>
      <c r="AV23" s="6"/>
      <c r="AX23" s="6"/>
      <c r="AZ23" s="6"/>
      <c r="BB23" s="6"/>
      <c r="BD23" s="6"/>
      <c r="BF23" s="6"/>
      <c r="BH23" s="6"/>
      <c r="BJ23" s="6"/>
      <c r="BL23" s="6"/>
      <c r="BN23" s="6"/>
      <c r="BP23" s="6"/>
      <c r="BR23" s="6"/>
      <c r="BT23" s="6"/>
      <c r="BV23" s="6"/>
      <c r="BX23" s="6"/>
      <c r="BZ23" s="6"/>
      <c r="CB23" s="6"/>
      <c r="CD23" s="6"/>
      <c r="CF23" s="6"/>
      <c r="CH23" s="6"/>
      <c r="CJ23" s="6"/>
      <c r="CL23" s="6"/>
      <c r="CN23" s="6"/>
      <c r="CP23" s="6"/>
      <c r="CR23" s="6"/>
      <c r="CT23" s="6"/>
      <c r="CV23" s="6"/>
      <c r="CX23" s="6"/>
      <c r="CZ23" s="6"/>
      <c r="DB23" s="6"/>
      <c r="DD23" s="6"/>
      <c r="DF23" s="6"/>
      <c r="DH23" s="6"/>
      <c r="DJ23" s="6"/>
      <c r="DL23" s="6"/>
      <c r="DN23" s="6"/>
      <c r="DP23" s="6"/>
      <c r="DR23" s="6"/>
      <c r="DT23" s="6"/>
      <c r="DV23" s="6"/>
      <c r="DX23" s="6"/>
      <c r="DZ23" s="6"/>
      <c r="EB23" s="6"/>
      <c r="ED23" s="6"/>
      <c r="EF23" s="6"/>
      <c r="EH23" s="6"/>
      <c r="EJ23" s="6"/>
      <c r="EL23" s="6"/>
      <c r="EN23" s="6"/>
      <c r="EP23" s="6"/>
      <c r="ER23" s="6"/>
      <c r="ET23" s="6"/>
      <c r="EV23" s="6"/>
      <c r="EX23" s="6"/>
      <c r="EZ23" s="6"/>
      <c r="FB23" s="6"/>
      <c r="FD23" s="6"/>
      <c r="FF23" s="6"/>
    </row>
    <row r="24" spans="2:162">
      <c r="B24" s="123"/>
      <c r="E24" s="421">
        <v>40877</v>
      </c>
      <c r="F24" s="25">
        <v>-3.5667333751916885E-2</v>
      </c>
      <c r="G24" s="25">
        <v>-0.14827390015125275</v>
      </c>
      <c r="H24" s="25">
        <v>-1.6501657664775848E-2</v>
      </c>
      <c r="I24" s="25">
        <v>-0.18779569864273071</v>
      </c>
      <c r="J24" s="25">
        <v>-4.6841815114021301E-2</v>
      </c>
      <c r="K24" s="25">
        <v>-3.7755891680717468E-2</v>
      </c>
      <c r="L24" s="25">
        <v>-6.7664057016372681E-2</v>
      </c>
      <c r="M24" s="25">
        <v>2.2331174463033676E-2</v>
      </c>
      <c r="N24" s="25">
        <v>1.4475783333182335E-2</v>
      </c>
      <c r="O24" s="25"/>
      <c r="P24" s="421">
        <v>40877</v>
      </c>
      <c r="Q24" s="25">
        <v>1.71897447926046E-2</v>
      </c>
      <c r="R24" s="25">
        <v>3.0174254953287516E-2</v>
      </c>
      <c r="S24" s="6"/>
      <c r="T24" s="421">
        <v>40877</v>
      </c>
      <c r="U24" s="25">
        <v>-0.10383865</v>
      </c>
      <c r="V24" s="287">
        <v>-6.5645499999999996E-2</v>
      </c>
      <c r="W24" s="25">
        <v>-2.064742E-2</v>
      </c>
      <c r="X24" s="25">
        <v>-3.923472862039934E-2</v>
      </c>
      <c r="Y24" s="25">
        <v>-7.2753699999999991E-2</v>
      </c>
      <c r="Z24" s="25">
        <v>-2.03016E-2</v>
      </c>
      <c r="AA24" s="25">
        <v>-2.4925600000000003E-2</v>
      </c>
      <c r="AB24" s="25">
        <v>-4.2179760000000004E-2</v>
      </c>
      <c r="AC24" s="25">
        <v>1.3295999999999999E-2</v>
      </c>
      <c r="AD24" s="260"/>
      <c r="AF24" s="6"/>
      <c r="AH24" s="6"/>
      <c r="AJ24" s="6"/>
      <c r="AL24" s="6"/>
      <c r="AN24" s="6"/>
      <c r="AP24" s="6"/>
      <c r="AR24" s="6"/>
      <c r="AT24" s="6"/>
      <c r="AV24" s="6"/>
      <c r="AX24" s="6"/>
      <c r="AZ24" s="6"/>
      <c r="BB24" s="6"/>
      <c r="BD24" s="6"/>
      <c r="BF24" s="6"/>
      <c r="BH24" s="6"/>
      <c r="BJ24" s="6"/>
      <c r="BL24" s="6"/>
      <c r="BN24" s="6"/>
      <c r="BP24" s="6"/>
      <c r="BR24" s="6"/>
      <c r="BT24" s="6"/>
      <c r="BV24" s="6"/>
      <c r="BX24" s="6"/>
      <c r="BZ24" s="6"/>
      <c r="CB24" s="6"/>
      <c r="CD24" s="6"/>
      <c r="CF24" s="6"/>
      <c r="CH24" s="6"/>
      <c r="CJ24" s="6"/>
      <c r="CL24" s="6"/>
      <c r="CN24" s="6"/>
      <c r="CP24" s="6"/>
      <c r="CR24" s="6"/>
      <c r="CT24" s="6"/>
      <c r="CV24" s="6"/>
      <c r="CX24" s="6"/>
      <c r="CZ24" s="6"/>
      <c r="DB24" s="6"/>
      <c r="DD24" s="6"/>
      <c r="DF24" s="6"/>
      <c r="DH24" s="6"/>
      <c r="DJ24" s="6"/>
      <c r="DL24" s="6"/>
      <c r="DN24" s="6"/>
      <c r="DP24" s="6"/>
      <c r="DR24" s="6"/>
      <c r="DT24" s="6"/>
      <c r="DV24" s="6"/>
      <c r="DX24" s="6"/>
      <c r="DZ24" s="6"/>
      <c r="EB24" s="6"/>
      <c r="ED24" s="6"/>
      <c r="EF24" s="6"/>
      <c r="EH24" s="6"/>
      <c r="EJ24" s="6"/>
      <c r="EL24" s="6"/>
      <c r="EN24" s="6"/>
      <c r="EP24" s="6"/>
      <c r="ER24" s="6"/>
      <c r="ET24" s="6"/>
      <c r="EV24" s="6"/>
      <c r="EX24" s="6"/>
      <c r="EZ24" s="6"/>
      <c r="FB24" s="6"/>
      <c r="FD24" s="6"/>
      <c r="FF24" s="6"/>
    </row>
    <row r="25" spans="2:162">
      <c r="B25" s="123"/>
      <c r="E25" s="421">
        <v>40908</v>
      </c>
      <c r="F25" s="25">
        <v>-6.6242270171642303E-2</v>
      </c>
      <c r="G25" s="25">
        <v>-0.19590823352336884</v>
      </c>
      <c r="H25" s="25">
        <v>-1.2424989603459835E-2</v>
      </c>
      <c r="I25" s="25">
        <v>1.6616249457001686E-2</v>
      </c>
      <c r="J25" s="25">
        <v>3.1486108899116516E-2</v>
      </c>
      <c r="K25" s="25">
        <v>4.315311461687088E-2</v>
      </c>
      <c r="L25" s="25">
        <v>3.099927119910717E-2</v>
      </c>
      <c r="M25" s="25">
        <v>-2.1914895623922348E-2</v>
      </c>
      <c r="N25" s="25">
        <v>1.3288008980453014E-2</v>
      </c>
      <c r="O25" s="25"/>
      <c r="P25" s="421">
        <v>40908</v>
      </c>
      <c r="Q25" s="25">
        <v>1.8043985818464892E-2</v>
      </c>
      <c r="R25" s="25">
        <v>2.8227264028577892E-2</v>
      </c>
      <c r="S25" s="6"/>
      <c r="T25" s="421">
        <v>40908</v>
      </c>
      <c r="U25" s="25">
        <v>1.2215E-2</v>
      </c>
      <c r="V25" s="287">
        <v>-4.1849900000000002E-2</v>
      </c>
      <c r="W25" s="25">
        <v>-7.2233000000000002E-3</v>
      </c>
      <c r="X25" s="25">
        <v>-1.5255959741492298E-2</v>
      </c>
      <c r="Y25" s="25">
        <v>5.1000000000000004E-3</v>
      </c>
      <c r="Z25" s="25">
        <v>-0.11059200000000001</v>
      </c>
      <c r="AA25" s="25">
        <v>-8.8900000000000003E-4</v>
      </c>
      <c r="AB25" s="25">
        <v>-1.9692790000000002E-2</v>
      </c>
      <c r="AC25" s="25">
        <v>2.6473300000000002E-2</v>
      </c>
      <c r="AD25" s="260"/>
      <c r="AF25" s="6"/>
      <c r="AH25" s="6"/>
      <c r="AJ25" s="6"/>
      <c r="AL25" s="6"/>
      <c r="AN25" s="6"/>
      <c r="AP25" s="6"/>
      <c r="AR25" s="6"/>
      <c r="AT25" s="6"/>
      <c r="AV25" s="6"/>
      <c r="AX25" s="6"/>
      <c r="AZ25" s="6"/>
      <c r="BB25" s="6"/>
      <c r="BD25" s="6"/>
      <c r="BF25" s="6"/>
      <c r="BH25" s="6"/>
      <c r="BJ25" s="6"/>
      <c r="BL25" s="6"/>
      <c r="BN25" s="6"/>
      <c r="BP25" s="6"/>
      <c r="BR25" s="6"/>
      <c r="BT25" s="6"/>
      <c r="BV25" s="6"/>
      <c r="BX25" s="6"/>
      <c r="BZ25" s="6"/>
      <c r="CB25" s="6"/>
      <c r="CD25" s="6"/>
      <c r="CF25" s="6"/>
      <c r="CH25" s="6"/>
      <c r="CJ25" s="6"/>
      <c r="CL25" s="6"/>
      <c r="CN25" s="6"/>
      <c r="CP25" s="6"/>
      <c r="CR25" s="6"/>
      <c r="CT25" s="6"/>
      <c r="CV25" s="6"/>
      <c r="CX25" s="6"/>
      <c r="CZ25" s="6"/>
      <c r="DB25" s="6"/>
      <c r="DD25" s="6"/>
      <c r="DF25" s="6"/>
      <c r="DH25" s="6"/>
      <c r="DJ25" s="6"/>
      <c r="DL25" s="6"/>
      <c r="DN25" s="6"/>
      <c r="DP25" s="6"/>
      <c r="DR25" s="6"/>
      <c r="DT25" s="6"/>
      <c r="DV25" s="6"/>
      <c r="DX25" s="6"/>
      <c r="DZ25" s="6"/>
      <c r="EB25" s="6"/>
      <c r="ED25" s="6"/>
      <c r="EF25" s="6"/>
      <c r="EH25" s="6"/>
      <c r="EJ25" s="6"/>
      <c r="EL25" s="6"/>
      <c r="EN25" s="6"/>
      <c r="EP25" s="6"/>
      <c r="ER25" s="6"/>
      <c r="ET25" s="6"/>
      <c r="EV25" s="6"/>
      <c r="EX25" s="6"/>
      <c r="EZ25" s="6"/>
      <c r="FB25" s="6"/>
      <c r="FD25" s="6"/>
      <c r="FF25" s="6"/>
    </row>
    <row r="26" spans="2:162">
      <c r="B26" s="123"/>
      <c r="E26" s="421">
        <v>40939</v>
      </c>
      <c r="F26" s="25">
        <v>0.13668829202651978</v>
      </c>
      <c r="G26" s="25">
        <v>4.2283028364181519E-2</v>
      </c>
      <c r="H26" s="25">
        <v>3.8239728659391403E-2</v>
      </c>
      <c r="I26" s="25">
        <v>0.46498546004295349</v>
      </c>
      <c r="J26" s="25">
        <v>0.10543514043092728</v>
      </c>
      <c r="K26" s="25">
        <v>-4.3007098138332367E-2</v>
      </c>
      <c r="L26" s="25">
        <v>9.480014443397522E-2</v>
      </c>
      <c r="M26" s="25">
        <v>4.7422237694263458E-2</v>
      </c>
      <c r="N26" s="25">
        <v>5.032021552324295E-3</v>
      </c>
      <c r="O26" s="25"/>
      <c r="P26" s="421">
        <v>40939</v>
      </c>
      <c r="Q26" s="25">
        <v>-8.0895349730880639E-5</v>
      </c>
      <c r="R26" s="25">
        <v>-1.9387259210240648E-3</v>
      </c>
      <c r="S26" s="6"/>
      <c r="T26" s="421">
        <v>40939</v>
      </c>
      <c r="U26" s="25">
        <v>4.383451E-2</v>
      </c>
      <c r="V26" s="287">
        <v>7.9824300000000001E-2</v>
      </c>
      <c r="W26" s="25">
        <v>6.2692070000000003E-2</v>
      </c>
      <c r="X26" s="25">
        <v>4.2730821415620346E-2</v>
      </c>
      <c r="Y26" s="25">
        <v>-4.4106199999999998E-2</v>
      </c>
      <c r="Z26" s="25">
        <v>0.12215479999999999</v>
      </c>
      <c r="AA26" s="25">
        <v>4.9534599999999998E-2</v>
      </c>
      <c r="AB26" s="25">
        <v>5.378877E-2</v>
      </c>
      <c r="AC26" s="25">
        <v>7.03072E-2</v>
      </c>
      <c r="AD26" s="260"/>
      <c r="AF26" s="6"/>
      <c r="AH26" s="6"/>
      <c r="AJ26" s="6"/>
      <c r="AL26" s="6"/>
      <c r="AN26" s="6"/>
      <c r="AP26" s="6"/>
      <c r="AR26" s="6"/>
      <c r="AT26" s="6"/>
      <c r="AV26" s="6"/>
      <c r="AX26" s="6"/>
      <c r="AZ26" s="6"/>
      <c r="BB26" s="6"/>
      <c r="BD26" s="6"/>
      <c r="BF26" s="6"/>
      <c r="BH26" s="6"/>
      <c r="BJ26" s="6"/>
      <c r="BL26" s="6"/>
      <c r="BN26" s="6"/>
      <c r="BP26" s="6"/>
      <c r="BR26" s="6"/>
      <c r="BT26" s="6"/>
      <c r="BV26" s="6"/>
      <c r="BX26" s="6"/>
      <c r="BZ26" s="6"/>
      <c r="CB26" s="6"/>
      <c r="CD26" s="6"/>
      <c r="CF26" s="6"/>
      <c r="CH26" s="6"/>
      <c r="CJ26" s="6"/>
      <c r="CL26" s="6"/>
      <c r="CN26" s="6"/>
      <c r="CP26" s="6"/>
      <c r="CR26" s="6"/>
      <c r="CT26" s="6"/>
      <c r="CV26" s="6"/>
      <c r="CX26" s="6"/>
      <c r="CZ26" s="6"/>
      <c r="DB26" s="6"/>
      <c r="DD26" s="6"/>
      <c r="DF26" s="6"/>
      <c r="DH26" s="6"/>
      <c r="DJ26" s="6"/>
      <c r="DL26" s="6"/>
      <c r="DN26" s="6"/>
      <c r="DP26" s="6"/>
      <c r="DR26" s="6"/>
      <c r="DT26" s="6"/>
      <c r="DV26" s="6"/>
      <c r="DX26" s="6"/>
      <c r="DZ26" s="6"/>
      <c r="EB26" s="6"/>
      <c r="ED26" s="6"/>
      <c r="EF26" s="6"/>
      <c r="EH26" s="6"/>
      <c r="EJ26" s="6"/>
      <c r="EL26" s="6"/>
      <c r="EN26" s="6"/>
      <c r="EP26" s="6"/>
      <c r="ER26" s="6"/>
      <c r="ET26" s="6"/>
      <c r="EV26" s="6"/>
      <c r="EX26" s="6"/>
      <c r="EZ26" s="6"/>
      <c r="FB26" s="6"/>
      <c r="FD26" s="6"/>
      <c r="FF26" s="6"/>
    </row>
    <row r="27" spans="2:162">
      <c r="B27" s="123"/>
      <c r="E27" s="421">
        <v>40968</v>
      </c>
      <c r="F27" s="25">
        <v>9.5972597599029541E-2</v>
      </c>
      <c r="G27" s="25">
        <v>-8.4963560104370117E-2</v>
      </c>
      <c r="H27" s="25">
        <v>6.9683186709880829E-2</v>
      </c>
      <c r="I27" s="25">
        <v>0.12145635485649109</v>
      </c>
      <c r="J27" s="25">
        <v>0.12476598471403122</v>
      </c>
      <c r="K27" s="25">
        <v>4.2057976126670837E-2</v>
      </c>
      <c r="L27" s="25">
        <v>6.2681742012500763E-2</v>
      </c>
      <c r="M27" s="25">
        <v>2.5413770228624344E-2</v>
      </c>
      <c r="N27" s="25">
        <v>-3.8615907542407513E-3</v>
      </c>
      <c r="O27" s="25"/>
      <c r="P27" s="421">
        <v>40968</v>
      </c>
      <c r="Q27" s="25">
        <v>-9.1500042473494636E-3</v>
      </c>
      <c r="R27" s="25">
        <v>-1.9057140341153245E-2</v>
      </c>
      <c r="S27" s="6"/>
      <c r="T27" s="421">
        <v>40968</v>
      </c>
      <c r="U27" s="25">
        <v>6.8243140000000008E-2</v>
      </c>
      <c r="V27" s="287">
        <v>2.1457500000000001E-2</v>
      </c>
      <c r="W27" s="25">
        <v>3.1973080000000001E-2</v>
      </c>
      <c r="X27" s="25">
        <v>4.6261942954022528E-2</v>
      </c>
      <c r="Y27" s="25">
        <v>-0.11841570000000001</v>
      </c>
      <c r="Z27" s="25">
        <v>-6.0851999999999998E-3</v>
      </c>
      <c r="AA27" s="25">
        <v>4.8231500000000004E-2</v>
      </c>
      <c r="AB27" s="25">
        <v>4.8081659999999998E-2</v>
      </c>
      <c r="AC27" s="25">
        <v>5.4269299999999993E-2</v>
      </c>
      <c r="AD27" s="260"/>
      <c r="AF27" s="6"/>
      <c r="AH27" s="6"/>
      <c r="AJ27" s="6"/>
      <c r="AL27" s="6"/>
      <c r="AN27" s="6"/>
      <c r="AP27" s="6"/>
      <c r="AR27" s="6"/>
      <c r="AT27" s="6"/>
      <c r="AV27" s="6"/>
      <c r="AX27" s="6"/>
      <c r="AZ27" s="6"/>
      <c r="BB27" s="6"/>
      <c r="BD27" s="6"/>
      <c r="BF27" s="6"/>
      <c r="BH27" s="6"/>
      <c r="BJ27" s="6"/>
      <c r="BL27" s="6"/>
      <c r="BN27" s="6"/>
      <c r="BP27" s="6"/>
      <c r="BR27" s="6"/>
      <c r="BT27" s="6"/>
      <c r="BV27" s="6"/>
      <c r="BX27" s="6"/>
      <c r="BZ27" s="6"/>
      <c r="CB27" s="6"/>
      <c r="CD27" s="6"/>
      <c r="CF27" s="6"/>
      <c r="CH27" s="6"/>
      <c r="CJ27" s="6"/>
      <c r="CL27" s="6"/>
      <c r="CN27" s="6"/>
      <c r="CP27" s="6"/>
      <c r="CR27" s="6"/>
      <c r="CT27" s="6"/>
      <c r="CV27" s="6"/>
      <c r="CX27" s="6"/>
      <c r="CZ27" s="6"/>
      <c r="DB27" s="6"/>
      <c r="DD27" s="6"/>
      <c r="DF27" s="6"/>
      <c r="DH27" s="6"/>
      <c r="DJ27" s="6"/>
      <c r="DL27" s="6"/>
      <c r="DN27" s="6"/>
      <c r="DP27" s="6"/>
      <c r="DR27" s="6"/>
      <c r="DT27" s="6"/>
      <c r="DV27" s="6"/>
      <c r="DX27" s="6"/>
      <c r="DZ27" s="6"/>
      <c r="EB27" s="6"/>
      <c r="ED27" s="6"/>
      <c r="EF27" s="6"/>
      <c r="EH27" s="6"/>
      <c r="EJ27" s="6"/>
      <c r="EL27" s="6"/>
      <c r="EN27" s="6"/>
      <c r="EP27" s="6"/>
      <c r="ER27" s="6"/>
      <c r="ET27" s="6"/>
      <c r="EV27" s="6"/>
      <c r="EX27" s="6"/>
      <c r="EZ27" s="6"/>
      <c r="FB27" s="6"/>
      <c r="FD27" s="6"/>
      <c r="FF27" s="6"/>
    </row>
    <row r="28" spans="2:162">
      <c r="B28" s="123"/>
      <c r="E28" s="421">
        <v>40999</v>
      </c>
      <c r="F28" s="25">
        <v>-7.3234237730503082E-2</v>
      </c>
      <c r="G28" s="25">
        <v>-1.9020471721887589E-2</v>
      </c>
      <c r="H28" s="25">
        <v>-6.0441341251134872E-2</v>
      </c>
      <c r="I28" s="25">
        <v>-2.2715561091899872E-2</v>
      </c>
      <c r="J28" s="25">
        <v>5.5196631699800491E-2</v>
      </c>
      <c r="K28" s="25">
        <v>-3.9556693285703659E-2</v>
      </c>
      <c r="L28" s="25">
        <v>4.3174218386411667E-2</v>
      </c>
      <c r="M28" s="25">
        <v>6.0590658336877823E-2</v>
      </c>
      <c r="N28" s="25">
        <v>1.3521819375455379E-2</v>
      </c>
      <c r="O28" s="25"/>
      <c r="P28" s="421">
        <v>40999</v>
      </c>
      <c r="Q28" s="25">
        <v>-2.0326514282448249E-2</v>
      </c>
      <c r="R28" s="25">
        <v>-1.2779080328665371E-2</v>
      </c>
      <c r="S28" s="6"/>
      <c r="T28" s="421">
        <v>40999</v>
      </c>
      <c r="U28" s="25">
        <v>-1.0393110000000001E-2</v>
      </c>
      <c r="V28" s="287">
        <v>-4.8211000000000004E-2</v>
      </c>
      <c r="W28" s="25">
        <v>1.482282E-2</v>
      </c>
      <c r="X28" s="25">
        <v>2.0562304357451211E-2</v>
      </c>
      <c r="Y28" s="25">
        <v>6.1139400000000003E-2</v>
      </c>
      <c r="Z28" s="25">
        <v>-9.795920000000001E-2</v>
      </c>
      <c r="AA28" s="25">
        <v>1.28506E-2</v>
      </c>
      <c r="AB28" s="25">
        <v>3.1940650000000001E-2</v>
      </c>
      <c r="AC28" s="25">
        <v>4.1140800000000005E-2</v>
      </c>
      <c r="AD28" s="260"/>
      <c r="AF28" s="6"/>
      <c r="AH28" s="6"/>
      <c r="AJ28" s="6"/>
      <c r="AL28" s="6"/>
      <c r="AN28" s="6"/>
      <c r="AP28" s="6"/>
      <c r="AR28" s="6"/>
      <c r="AT28" s="6"/>
      <c r="AV28" s="6"/>
      <c r="AX28" s="6"/>
      <c r="AZ28" s="6"/>
      <c r="BB28" s="6"/>
      <c r="BD28" s="6"/>
      <c r="BF28" s="6"/>
      <c r="BH28" s="6"/>
      <c r="BJ28" s="6"/>
      <c r="BL28" s="6"/>
      <c r="BN28" s="6"/>
      <c r="BP28" s="6"/>
      <c r="BR28" s="6"/>
      <c r="BT28" s="6"/>
      <c r="BV28" s="6"/>
      <c r="BX28" s="6"/>
      <c r="BZ28" s="6"/>
      <c r="CB28" s="6"/>
      <c r="CD28" s="6"/>
      <c r="CF28" s="6"/>
      <c r="CH28" s="6"/>
      <c r="CJ28" s="6"/>
      <c r="CL28" s="6"/>
      <c r="CN28" s="6"/>
      <c r="CP28" s="6"/>
      <c r="CR28" s="6"/>
      <c r="CT28" s="6"/>
      <c r="CV28" s="6"/>
      <c r="CX28" s="6"/>
      <c r="CZ28" s="6"/>
      <c r="DB28" s="6"/>
      <c r="DD28" s="6"/>
      <c r="DF28" s="6"/>
      <c r="DH28" s="6"/>
      <c r="DJ28" s="6"/>
      <c r="DL28" s="6"/>
      <c r="DN28" s="6"/>
      <c r="DP28" s="6"/>
      <c r="DR28" s="6"/>
      <c r="DT28" s="6"/>
      <c r="DV28" s="6"/>
      <c r="DX28" s="6"/>
      <c r="DZ28" s="6"/>
      <c r="EB28" s="6"/>
      <c r="ED28" s="6"/>
      <c r="EF28" s="6"/>
      <c r="EH28" s="6"/>
      <c r="EJ28" s="6"/>
      <c r="EL28" s="6"/>
      <c r="EN28" s="6"/>
      <c r="EP28" s="6"/>
      <c r="ER28" s="6"/>
      <c r="ET28" s="6"/>
      <c r="EV28" s="6"/>
      <c r="EX28" s="6"/>
      <c r="EZ28" s="6"/>
      <c r="FB28" s="6"/>
      <c r="FD28" s="6"/>
      <c r="FF28" s="6"/>
    </row>
    <row r="29" spans="2:162">
      <c r="B29" s="123"/>
      <c r="E29" s="421">
        <v>41029</v>
      </c>
      <c r="F29" s="25">
        <v>-6.3835777342319489E-2</v>
      </c>
      <c r="G29" s="25">
        <v>-0.12880215048789978</v>
      </c>
      <c r="H29" s="25">
        <v>-2.2225718945264816E-2</v>
      </c>
      <c r="I29" s="25">
        <v>0.11174681037664413</v>
      </c>
      <c r="J29" s="25">
        <v>-4.5819956809282303E-2</v>
      </c>
      <c r="K29" s="25">
        <v>-1.9192254170775414E-2</v>
      </c>
      <c r="L29" s="25">
        <v>-2.2150976583361626E-2</v>
      </c>
      <c r="M29" s="25">
        <v>-7.5245685875415802E-3</v>
      </c>
      <c r="N29" s="25">
        <v>-1.3038204982876778E-2</v>
      </c>
      <c r="O29" s="25"/>
      <c r="P29" s="421">
        <v>41029</v>
      </c>
      <c r="Q29" s="25">
        <v>2.329855149767468E-2</v>
      </c>
      <c r="R29" s="25">
        <v>2.8044631777140561E-2</v>
      </c>
      <c r="S29" s="6"/>
      <c r="T29" s="421">
        <v>41029</v>
      </c>
      <c r="U29" s="25">
        <v>-1.8912990000000001E-2</v>
      </c>
      <c r="V29" s="287">
        <v>-6.3106400000000007E-2</v>
      </c>
      <c r="W29" s="25">
        <v>7.23911E-3</v>
      </c>
      <c r="X29" s="25">
        <v>-1.517632082875775E-2</v>
      </c>
      <c r="Y29" s="25">
        <v>1.61502E-2</v>
      </c>
      <c r="Z29" s="25">
        <v>-5.80694E-2</v>
      </c>
      <c r="AA29" s="25">
        <v>-1.18896E-2</v>
      </c>
      <c r="AB29" s="25">
        <v>-1.99188E-2</v>
      </c>
      <c r="AC29" s="25">
        <v>-9.5400000000000001E-5</v>
      </c>
      <c r="AD29" s="260"/>
      <c r="AF29" s="6"/>
      <c r="AH29" s="6"/>
      <c r="AJ29" s="6"/>
      <c r="AL29" s="6"/>
      <c r="AN29" s="6"/>
      <c r="AP29" s="6"/>
      <c r="AR29" s="6"/>
      <c r="AT29" s="6"/>
      <c r="AV29" s="6"/>
      <c r="AX29" s="6"/>
      <c r="AZ29" s="6"/>
      <c r="BB29" s="6"/>
      <c r="BD29" s="6"/>
      <c r="BF29" s="6"/>
      <c r="BH29" s="6"/>
      <c r="BJ29" s="6"/>
      <c r="BL29" s="6"/>
      <c r="BN29" s="6"/>
      <c r="BP29" s="6"/>
      <c r="BR29" s="6"/>
      <c r="BT29" s="6"/>
      <c r="BV29" s="6"/>
      <c r="BX29" s="6"/>
      <c r="BZ29" s="6"/>
      <c r="CB29" s="6"/>
      <c r="CD29" s="6"/>
      <c r="CF29" s="6"/>
      <c r="CH29" s="6"/>
      <c r="CJ29" s="6"/>
      <c r="CL29" s="6"/>
      <c r="CN29" s="6"/>
      <c r="CP29" s="6"/>
      <c r="CR29" s="6"/>
      <c r="CT29" s="6"/>
      <c r="CV29" s="6"/>
      <c r="CX29" s="6"/>
      <c r="CZ29" s="6"/>
      <c r="DB29" s="6"/>
      <c r="DD29" s="6"/>
      <c r="DF29" s="6"/>
      <c r="DH29" s="6"/>
      <c r="DJ29" s="6"/>
      <c r="DL29" s="6"/>
      <c r="DN29" s="6"/>
      <c r="DP29" s="6"/>
      <c r="DR29" s="6"/>
      <c r="DT29" s="6"/>
      <c r="DV29" s="6"/>
      <c r="DX29" s="6"/>
      <c r="DZ29" s="6"/>
      <c r="EB29" s="6"/>
      <c r="ED29" s="6"/>
      <c r="EF29" s="6"/>
      <c r="EH29" s="6"/>
      <c r="EJ29" s="6"/>
      <c r="EL29" s="6"/>
      <c r="EN29" s="6"/>
      <c r="EP29" s="6"/>
      <c r="ER29" s="6"/>
      <c r="ET29" s="6"/>
      <c r="EV29" s="6"/>
      <c r="EX29" s="6"/>
      <c r="EZ29" s="6"/>
      <c r="FB29" s="6"/>
      <c r="FD29" s="6"/>
      <c r="FF29" s="6"/>
    </row>
    <row r="30" spans="2:162">
      <c r="B30" s="123"/>
      <c r="E30" s="421">
        <v>41060</v>
      </c>
      <c r="F30" s="25">
        <v>-0.19490325450897217</v>
      </c>
      <c r="G30" s="25">
        <v>-0.30671167373657227</v>
      </c>
      <c r="H30" s="25">
        <v>-0.14825321733951569</v>
      </c>
      <c r="I30" s="25">
        <v>-0.30935710668563843</v>
      </c>
      <c r="J30" s="25">
        <v>-6.3505865633487701E-2</v>
      </c>
      <c r="K30" s="25">
        <v>-6.2473095953464508E-2</v>
      </c>
      <c r="L30" s="25">
        <v>-7.4615649878978729E-2</v>
      </c>
      <c r="M30" s="25">
        <v>-6.4646050333976746E-2</v>
      </c>
      <c r="N30" s="25">
        <v>-3.1843122094869614E-2</v>
      </c>
      <c r="O30" s="25"/>
      <c r="P30" s="421">
        <v>41060</v>
      </c>
      <c r="Q30" s="25">
        <v>4.5324417766520186E-2</v>
      </c>
      <c r="R30" s="25">
        <v>9.0694346887276067E-2</v>
      </c>
      <c r="S30" s="6"/>
      <c r="T30" s="421">
        <v>41060</v>
      </c>
      <c r="U30" s="25">
        <v>-0.11961406000000001</v>
      </c>
      <c r="V30" s="287">
        <v>-0.1688511</v>
      </c>
      <c r="W30" s="25">
        <v>-7.3389419999999997E-2</v>
      </c>
      <c r="X30" s="25">
        <v>-7.7892303157132692E-2</v>
      </c>
      <c r="Y30" s="25">
        <v>0.237543</v>
      </c>
      <c r="Z30" s="25">
        <v>-0.12890309999999999</v>
      </c>
      <c r="AA30" s="25">
        <v>-8.5639199999999999E-2</v>
      </c>
      <c r="AB30" s="25">
        <v>-8.7014220000000003E-2</v>
      </c>
      <c r="AC30" s="25">
        <v>-0.1158839</v>
      </c>
      <c r="AD30" s="260"/>
      <c r="AF30" s="6"/>
      <c r="AH30" s="6"/>
      <c r="AJ30" s="6"/>
      <c r="AL30" s="6"/>
      <c r="AN30" s="6"/>
      <c r="AP30" s="6"/>
      <c r="AR30" s="6"/>
      <c r="AT30" s="6"/>
      <c r="AV30" s="6"/>
      <c r="AX30" s="6"/>
      <c r="AZ30" s="6"/>
      <c r="BB30" s="6"/>
      <c r="BD30" s="6"/>
      <c r="BF30" s="6"/>
      <c r="BH30" s="6"/>
      <c r="BJ30" s="6"/>
      <c r="BL30" s="6"/>
      <c r="BN30" s="6"/>
      <c r="BP30" s="6"/>
      <c r="BR30" s="6"/>
      <c r="BT30" s="6"/>
      <c r="BV30" s="6"/>
      <c r="BX30" s="6"/>
      <c r="BZ30" s="6"/>
      <c r="CB30" s="6"/>
      <c r="CD30" s="6"/>
      <c r="CF30" s="6"/>
      <c r="CH30" s="6"/>
      <c r="CJ30" s="6"/>
      <c r="CL30" s="6"/>
      <c r="CN30" s="6"/>
      <c r="CP30" s="6"/>
      <c r="CR30" s="6"/>
      <c r="CT30" s="6"/>
      <c r="CV30" s="6"/>
      <c r="CX30" s="6"/>
      <c r="CZ30" s="6"/>
      <c r="DB30" s="6"/>
      <c r="DD30" s="6"/>
      <c r="DF30" s="6"/>
      <c r="DH30" s="6"/>
      <c r="DJ30" s="6"/>
      <c r="DL30" s="6"/>
      <c r="DN30" s="6"/>
      <c r="DP30" s="6"/>
      <c r="DR30" s="6"/>
      <c r="DT30" s="6"/>
      <c r="DV30" s="6"/>
      <c r="DX30" s="6"/>
      <c r="DZ30" s="6"/>
      <c r="EB30" s="6"/>
      <c r="ED30" s="6"/>
      <c r="EF30" s="6"/>
      <c r="EH30" s="6"/>
      <c r="EJ30" s="6"/>
      <c r="EL30" s="6"/>
      <c r="EN30" s="6"/>
      <c r="EP30" s="6"/>
      <c r="ER30" s="6"/>
      <c r="ET30" s="6"/>
      <c r="EV30" s="6"/>
      <c r="EX30" s="6"/>
      <c r="EZ30" s="6"/>
      <c r="FB30" s="6"/>
      <c r="FD30" s="6"/>
      <c r="FF30" s="6"/>
    </row>
    <row r="31" spans="2:162">
      <c r="B31" s="123"/>
      <c r="E31" s="421">
        <v>41090</v>
      </c>
      <c r="F31" s="25">
        <v>7.9276256263256073E-2</v>
      </c>
      <c r="G31" s="25">
        <v>-9.5763593912124634E-2</v>
      </c>
      <c r="H31" s="25">
        <v>8.8843688368797302E-2</v>
      </c>
      <c r="I31" s="25">
        <v>4.6568471938371658E-2</v>
      </c>
      <c r="J31" s="25">
        <v>3.1259678304195404E-2</v>
      </c>
      <c r="K31" s="25">
        <v>0.11752405762672424</v>
      </c>
      <c r="L31" s="25">
        <v>4.2512077838182449E-2</v>
      </c>
      <c r="M31" s="25">
        <v>1.3893205672502518E-2</v>
      </c>
      <c r="N31" s="25">
        <v>8.2172036170959473E-2</v>
      </c>
      <c r="O31" s="25"/>
      <c r="P31" s="421">
        <v>41090</v>
      </c>
      <c r="Q31" s="25">
        <v>-9.6223893912181779E-3</v>
      </c>
      <c r="R31" s="25">
        <v>-2.170055241239166E-2</v>
      </c>
      <c r="S31" s="6"/>
      <c r="T31" s="421">
        <v>41090</v>
      </c>
      <c r="U31" s="25">
        <v>3.4340660000000002E-2</v>
      </c>
      <c r="V31" s="287">
        <v>4.0331099999999995E-2</v>
      </c>
      <c r="W31" s="25">
        <v>3.2470199999999998E-2</v>
      </c>
      <c r="X31" s="25">
        <v>5.8054845369585051E-2</v>
      </c>
      <c r="Y31" s="25">
        <v>-0.11905590000000001</v>
      </c>
      <c r="Z31" s="25">
        <v>-9.1912000000000001E-3</v>
      </c>
      <c r="AA31" s="25">
        <v>5.1052400000000005E-2</v>
      </c>
      <c r="AB31" s="25">
        <v>3.8080860000000001E-2</v>
      </c>
      <c r="AC31" s="25">
        <v>7.8600700000000009E-2</v>
      </c>
      <c r="AD31" s="260"/>
      <c r="AF31" s="6"/>
      <c r="AH31" s="6"/>
      <c r="AJ31" s="6"/>
      <c r="AL31" s="6"/>
      <c r="AN31" s="6"/>
      <c r="AP31" s="6"/>
      <c r="AR31" s="6"/>
      <c r="AT31" s="6"/>
      <c r="AV31" s="6"/>
      <c r="AX31" s="6"/>
      <c r="AZ31" s="6"/>
      <c r="BB31" s="6"/>
      <c r="BD31" s="6"/>
      <c r="BF31" s="6"/>
      <c r="BH31" s="6"/>
      <c r="BJ31" s="6"/>
      <c r="BL31" s="6"/>
      <c r="BN31" s="6"/>
      <c r="BP31" s="6"/>
      <c r="BR31" s="6"/>
      <c r="BT31" s="6"/>
      <c r="BV31" s="6"/>
      <c r="BX31" s="6"/>
      <c r="BZ31" s="6"/>
      <c r="CB31" s="6"/>
      <c r="CD31" s="6"/>
      <c r="CF31" s="6"/>
      <c r="CH31" s="6"/>
      <c r="CJ31" s="6"/>
      <c r="CL31" s="6"/>
      <c r="CN31" s="6"/>
      <c r="CP31" s="6"/>
      <c r="CR31" s="6"/>
      <c r="CT31" s="6"/>
      <c r="CV31" s="6"/>
      <c r="CX31" s="6"/>
      <c r="CZ31" s="6"/>
      <c r="DB31" s="6"/>
      <c r="DD31" s="6"/>
      <c r="DF31" s="6"/>
      <c r="DH31" s="6"/>
      <c r="DJ31" s="6"/>
      <c r="DL31" s="6"/>
      <c r="DN31" s="6"/>
      <c r="DP31" s="6"/>
      <c r="DR31" s="6"/>
      <c r="DT31" s="6"/>
      <c r="DV31" s="6"/>
      <c r="DX31" s="6"/>
      <c r="DZ31" s="6"/>
      <c r="EB31" s="6"/>
      <c r="ED31" s="6"/>
      <c r="EF31" s="6"/>
      <c r="EH31" s="6"/>
      <c r="EJ31" s="6"/>
      <c r="EL31" s="6"/>
      <c r="EN31" s="6"/>
      <c r="EP31" s="6"/>
      <c r="ER31" s="6"/>
      <c r="ET31" s="6"/>
      <c r="EV31" s="6"/>
      <c r="EX31" s="6"/>
      <c r="EZ31" s="6"/>
      <c r="FB31" s="6"/>
      <c r="FD31" s="6"/>
      <c r="FF31" s="6"/>
    </row>
    <row r="32" spans="2:162">
      <c r="E32" s="421">
        <v>41121</v>
      </c>
      <c r="F32" s="25">
        <v>-1.1579709127545357E-2</v>
      </c>
      <c r="G32" s="25">
        <v>-0.13391780853271484</v>
      </c>
      <c r="H32" s="25">
        <v>6.2893559224903584E-3</v>
      </c>
      <c r="I32" s="25">
        <v>-4.621577262878418E-2</v>
      </c>
      <c r="J32" s="25">
        <v>-3.2811865210533142E-2</v>
      </c>
      <c r="K32" s="25">
        <v>0.11443383246660233</v>
      </c>
      <c r="L32" s="25">
        <v>-4.6030275523662567E-2</v>
      </c>
      <c r="M32" s="25">
        <v>2.0452027674764395E-3</v>
      </c>
      <c r="N32" s="25">
        <v>2.4570751935243607E-2</v>
      </c>
      <c r="O32" s="25"/>
      <c r="P32" s="421">
        <v>41121</v>
      </c>
      <c r="Q32" s="25">
        <v>2.1296263516676239E-2</v>
      </c>
      <c r="R32" s="25">
        <v>2.7180034816191023E-2</v>
      </c>
      <c r="S32" s="6"/>
      <c r="T32" s="421">
        <v>41121</v>
      </c>
      <c r="U32" s="25">
        <v>3.6777480000000001E-2</v>
      </c>
      <c r="V32" s="287">
        <v>-0.1199698</v>
      </c>
      <c r="W32" s="25">
        <v>2.0830999999999999E-4</v>
      </c>
      <c r="X32" s="25">
        <v>6.5608148403706323E-3</v>
      </c>
      <c r="Y32" s="25">
        <v>-8.8652499999999995E-2</v>
      </c>
      <c r="Z32" s="25">
        <v>0</v>
      </c>
      <c r="AA32" s="25">
        <v>1.2719299999999999E-2</v>
      </c>
      <c r="AB32" s="25">
        <v>-1.31298E-3</v>
      </c>
      <c r="AC32" s="25">
        <v>1.8718699999999998E-2</v>
      </c>
      <c r="AD32" s="260"/>
      <c r="AF32" s="6"/>
      <c r="AH32" s="6"/>
      <c r="AJ32" s="6"/>
      <c r="AL32" s="6"/>
      <c r="AN32" s="6"/>
      <c r="AP32" s="6"/>
      <c r="AR32" s="6"/>
      <c r="AT32" s="6"/>
      <c r="AV32" s="6"/>
      <c r="AX32" s="6"/>
      <c r="AZ32" s="6"/>
      <c r="BB32" s="6"/>
      <c r="BD32" s="6"/>
      <c r="BF32" s="6"/>
      <c r="BH32" s="6"/>
      <c r="BJ32" s="6"/>
      <c r="BL32" s="6"/>
      <c r="BN32" s="6"/>
      <c r="BP32" s="6"/>
      <c r="BR32" s="6"/>
      <c r="BT32" s="6"/>
      <c r="BV32" s="6"/>
      <c r="BX32" s="6"/>
      <c r="BZ32" s="6"/>
      <c r="CB32" s="6"/>
      <c r="CD32" s="6"/>
      <c r="CF32" s="6"/>
      <c r="CH32" s="6"/>
      <c r="CJ32" s="6"/>
      <c r="CL32" s="6"/>
      <c r="CN32" s="6"/>
      <c r="CP32" s="6"/>
      <c r="CR32" s="6"/>
      <c r="CT32" s="6"/>
      <c r="CV32" s="6"/>
      <c r="CX32" s="6"/>
      <c r="CZ32" s="6"/>
      <c r="DB32" s="6"/>
      <c r="DD32" s="6"/>
      <c r="DF32" s="6"/>
      <c r="DH32" s="6"/>
      <c r="DJ32" s="6"/>
      <c r="DL32" s="6"/>
      <c r="DN32" s="6"/>
      <c r="DP32" s="6"/>
      <c r="DR32" s="6"/>
      <c r="DT32" s="6"/>
      <c r="DV32" s="6"/>
      <c r="DX32" s="6"/>
      <c r="DZ32" s="6"/>
      <c r="EB32" s="6"/>
      <c r="ED32" s="6"/>
      <c r="EF32" s="6"/>
      <c r="EH32" s="6"/>
      <c r="EJ32" s="6"/>
      <c r="EL32" s="6"/>
      <c r="EN32" s="6"/>
      <c r="EP32" s="6"/>
      <c r="ER32" s="6"/>
      <c r="ET32" s="6"/>
      <c r="EV32" s="6"/>
      <c r="EX32" s="6"/>
      <c r="EZ32" s="6"/>
      <c r="FB32" s="6"/>
      <c r="FD32" s="6"/>
      <c r="FF32" s="6"/>
    </row>
    <row r="33" spans="5:162">
      <c r="E33" s="421">
        <v>41152</v>
      </c>
      <c r="F33" s="25">
        <v>3.9242543280124664E-2</v>
      </c>
      <c r="G33" s="25">
        <v>0.45540404319763184</v>
      </c>
      <c r="H33" s="25">
        <v>6.4242057502269745E-2</v>
      </c>
      <c r="I33" s="25">
        <v>3.5294055938720703E-2</v>
      </c>
      <c r="J33" s="25">
        <v>2.2120842710137367E-2</v>
      </c>
      <c r="K33" s="25">
        <v>4.6292584389448166E-2</v>
      </c>
      <c r="L33" s="25">
        <v>1.2529534287750721E-2</v>
      </c>
      <c r="M33" s="25">
        <v>-1.6198117518797517E-3</v>
      </c>
      <c r="N33" s="25">
        <v>-1.7169257625937462E-2</v>
      </c>
      <c r="O33" s="25"/>
      <c r="P33" s="421">
        <v>41152</v>
      </c>
      <c r="Q33" s="25">
        <v>-5.538501831403031E-3</v>
      </c>
      <c r="R33" s="25">
        <v>-8.5401920712457891E-3</v>
      </c>
      <c r="S33" s="6"/>
      <c r="T33" s="421">
        <v>41152</v>
      </c>
      <c r="U33" s="25">
        <v>3.408684E-2</v>
      </c>
      <c r="V33" s="287">
        <v>5.1740000000000001E-2</v>
      </c>
      <c r="W33" s="25">
        <v>3.3261280000000004E-2</v>
      </c>
      <c r="X33" s="25">
        <v>4.0956724613292472E-2</v>
      </c>
      <c r="Y33" s="25">
        <v>-5.3609999999999998E-2</v>
      </c>
      <c r="Z33" s="25">
        <v>8.9053799999999989E-2</v>
      </c>
      <c r="AA33" s="25">
        <v>2.50727E-2</v>
      </c>
      <c r="AB33" s="25">
        <v>4.1406770000000002E-2</v>
      </c>
      <c r="AC33" s="25">
        <v>1.89643E-2</v>
      </c>
      <c r="AD33" s="260"/>
      <c r="AF33" s="6"/>
      <c r="AH33" s="6"/>
      <c r="AJ33" s="6"/>
      <c r="AL33" s="6"/>
      <c r="AN33" s="6"/>
      <c r="AP33" s="6"/>
      <c r="AR33" s="6"/>
      <c r="AT33" s="6"/>
      <c r="AV33" s="6"/>
      <c r="AX33" s="6"/>
      <c r="AZ33" s="6"/>
      <c r="BB33" s="6"/>
      <c r="BD33" s="6"/>
      <c r="BF33" s="6"/>
      <c r="BH33" s="6"/>
      <c r="BJ33" s="6"/>
      <c r="BL33" s="6"/>
      <c r="BN33" s="6"/>
      <c r="BP33" s="6"/>
      <c r="BR33" s="6"/>
      <c r="BT33" s="6"/>
      <c r="BV33" s="6"/>
      <c r="BX33" s="6"/>
      <c r="BZ33" s="6"/>
      <c r="CB33" s="6"/>
      <c r="CD33" s="6"/>
      <c r="CF33" s="6"/>
      <c r="CH33" s="6"/>
      <c r="CJ33" s="6"/>
      <c r="CL33" s="6"/>
      <c r="CN33" s="6"/>
      <c r="CP33" s="6"/>
      <c r="CR33" s="6"/>
      <c r="CT33" s="6"/>
      <c r="CV33" s="6"/>
      <c r="CX33" s="6"/>
      <c r="CZ33" s="6"/>
      <c r="DB33" s="6"/>
      <c r="DD33" s="6"/>
      <c r="DF33" s="6"/>
      <c r="DH33" s="6"/>
      <c r="DJ33" s="6"/>
      <c r="DL33" s="6"/>
      <c r="DN33" s="6"/>
      <c r="DP33" s="6"/>
      <c r="DR33" s="6"/>
      <c r="DT33" s="6"/>
      <c r="DV33" s="6"/>
      <c r="DX33" s="6"/>
      <c r="DZ33" s="6"/>
      <c r="EB33" s="6"/>
      <c r="ED33" s="6"/>
      <c r="EF33" s="6"/>
      <c r="EH33" s="6"/>
      <c r="EJ33" s="6"/>
      <c r="EL33" s="6"/>
      <c r="EN33" s="6"/>
      <c r="EP33" s="6"/>
      <c r="ER33" s="6"/>
      <c r="ET33" s="6"/>
      <c r="EV33" s="6"/>
      <c r="EX33" s="6"/>
      <c r="EZ33" s="6"/>
      <c r="FB33" s="6"/>
      <c r="FD33" s="6"/>
      <c r="FF33" s="6"/>
    </row>
    <row r="34" spans="5:162">
      <c r="E34" s="421">
        <v>41182</v>
      </c>
      <c r="F34" s="25">
        <v>3.8089778274297714E-2</v>
      </c>
      <c r="G34" s="25">
        <v>2.0073685795068741E-2</v>
      </c>
      <c r="H34" s="25">
        <v>5.3766686469316483E-3</v>
      </c>
      <c r="I34" s="25">
        <v>0.2041642963886261</v>
      </c>
      <c r="J34" s="25">
        <v>-1.990574412047863E-3</v>
      </c>
      <c r="K34" s="25">
        <v>1.3556352816522121E-2</v>
      </c>
      <c r="L34" s="25">
        <v>3.7156153470277786E-2</v>
      </c>
      <c r="M34" s="25">
        <v>6.4565129578113556E-2</v>
      </c>
      <c r="N34" s="25">
        <v>2.1848687902092934E-2</v>
      </c>
      <c r="O34" s="25"/>
      <c r="P34" s="421">
        <v>41182</v>
      </c>
      <c r="Q34" s="25">
        <v>2.7203823407526695E-2</v>
      </c>
      <c r="R34" s="25">
        <v>-2.1263861490433467E-2</v>
      </c>
      <c r="S34" s="6"/>
      <c r="T34" s="421">
        <v>41182</v>
      </c>
      <c r="U34" s="25">
        <v>5.4213219999999999E-2</v>
      </c>
      <c r="V34" s="287">
        <v>2.3088000000000001E-2</v>
      </c>
      <c r="W34" s="25">
        <v>2.4702149999999999E-2</v>
      </c>
      <c r="X34" s="25">
        <v>1.4051092159833578E-2</v>
      </c>
      <c r="Y34" s="25">
        <v>-6.9894899999999996E-2</v>
      </c>
      <c r="Z34" s="25">
        <v>0.1379898</v>
      </c>
      <c r="AA34" s="25">
        <v>2.7059099999999999E-2</v>
      </c>
      <c r="AB34" s="25">
        <v>3.163084E-2</v>
      </c>
      <c r="AC34" s="25">
        <v>5.2651899999999995E-2</v>
      </c>
      <c r="AD34" s="260"/>
      <c r="AF34" s="6"/>
      <c r="AH34" s="6"/>
      <c r="AJ34" s="6"/>
      <c r="AL34" s="6"/>
      <c r="AN34" s="6"/>
      <c r="AP34" s="6"/>
      <c r="AR34" s="6"/>
      <c r="AT34" s="6"/>
      <c r="AV34" s="6"/>
      <c r="AX34" s="6"/>
      <c r="AZ34" s="6"/>
      <c r="BB34" s="6"/>
      <c r="BD34" s="6"/>
      <c r="BF34" s="6"/>
      <c r="BH34" s="6"/>
      <c r="BJ34" s="6"/>
      <c r="BL34" s="6"/>
      <c r="BN34" s="6"/>
      <c r="BP34" s="6"/>
      <c r="BR34" s="6"/>
      <c r="BT34" s="6"/>
      <c r="BV34" s="6"/>
      <c r="BX34" s="6"/>
      <c r="BZ34" s="6"/>
      <c r="CB34" s="6"/>
      <c r="CD34" s="6"/>
      <c r="CF34" s="6"/>
      <c r="CH34" s="6"/>
      <c r="CJ34" s="6"/>
      <c r="CL34" s="6"/>
      <c r="CN34" s="6"/>
      <c r="CP34" s="6"/>
      <c r="CR34" s="6"/>
      <c r="CT34" s="6"/>
      <c r="CV34" s="6"/>
      <c r="CX34" s="6"/>
      <c r="CZ34" s="6"/>
      <c r="DB34" s="6"/>
      <c r="DD34" s="6"/>
      <c r="DF34" s="6"/>
      <c r="DH34" s="6"/>
      <c r="DJ34" s="6"/>
      <c r="DL34" s="6"/>
      <c r="DN34" s="6"/>
      <c r="DP34" s="6"/>
      <c r="DR34" s="6"/>
      <c r="DT34" s="6"/>
      <c r="DV34" s="6"/>
      <c r="DX34" s="6"/>
      <c r="DZ34" s="6"/>
      <c r="EB34" s="6"/>
      <c r="ED34" s="6"/>
      <c r="EF34" s="6"/>
      <c r="EH34" s="6"/>
      <c r="EJ34" s="6"/>
      <c r="EL34" s="6"/>
      <c r="EN34" s="6"/>
      <c r="EP34" s="6"/>
      <c r="ER34" s="6"/>
      <c r="ET34" s="6"/>
      <c r="EV34" s="6"/>
      <c r="EX34" s="6"/>
      <c r="EZ34" s="6"/>
      <c r="FB34" s="6"/>
      <c r="FD34" s="6"/>
      <c r="FF34" s="6"/>
    </row>
    <row r="35" spans="5:162">
      <c r="E35" s="421">
        <v>41213</v>
      </c>
      <c r="F35" s="25">
        <v>-8.5985586047172546E-2</v>
      </c>
      <c r="G35" s="25">
        <v>-0.18656913936138153</v>
      </c>
      <c r="H35" s="25">
        <v>1.3122405856847763E-2</v>
      </c>
      <c r="I35" s="25">
        <v>-6.6526353359222412E-2</v>
      </c>
      <c r="J35" s="25">
        <v>-1.8744880333542824E-2</v>
      </c>
      <c r="K35" s="25">
        <v>7.00998455286026E-2</v>
      </c>
      <c r="L35" s="25">
        <v>4.8921119421720505E-2</v>
      </c>
      <c r="M35" s="25">
        <v>-6.2380075454711914E-2</v>
      </c>
      <c r="N35" s="25">
        <v>2.7617311105132103E-2</v>
      </c>
      <c r="O35" s="25"/>
      <c r="P35" s="421">
        <v>41213</v>
      </c>
      <c r="Q35" s="25">
        <v>1.0406337308603852E-3</v>
      </c>
      <c r="R35" s="25">
        <v>-4.4028941691087731E-5</v>
      </c>
      <c r="S35" s="6"/>
      <c r="T35" s="421">
        <v>41213</v>
      </c>
      <c r="U35" s="25">
        <v>2.6953000000000003E-4</v>
      </c>
      <c r="V35" s="287">
        <v>-4.6989400000000001E-2</v>
      </c>
      <c r="W35" s="25">
        <v>-1.2020599999999999E-2</v>
      </c>
      <c r="X35" s="25">
        <v>-2.0675528000132282E-2</v>
      </c>
      <c r="Y35" s="25">
        <v>4.1257400000000007E-2</v>
      </c>
      <c r="Z35" s="25">
        <v>-2.3203600000000001E-2</v>
      </c>
      <c r="AA35" s="25">
        <v>-7.3531999999999998E-3</v>
      </c>
      <c r="AB35" s="25">
        <v>1.01549E-3</v>
      </c>
      <c r="AC35" s="25">
        <v>-5.0842799999999994E-2</v>
      </c>
      <c r="AD35" s="260"/>
      <c r="AF35" s="6"/>
      <c r="AH35" s="6"/>
      <c r="AJ35" s="6"/>
      <c r="AL35" s="6"/>
      <c r="AN35" s="6"/>
      <c r="AP35" s="6"/>
      <c r="AR35" s="6"/>
      <c r="AT35" s="6"/>
      <c r="AV35" s="6"/>
      <c r="AX35" s="6"/>
      <c r="AZ35" s="6"/>
      <c r="BB35" s="6"/>
      <c r="BD35" s="6"/>
      <c r="BF35" s="6"/>
      <c r="BH35" s="6"/>
      <c r="BJ35" s="6"/>
      <c r="BL35" s="6"/>
      <c r="BN35" s="6"/>
      <c r="BP35" s="6"/>
      <c r="BR35" s="6"/>
      <c r="BT35" s="6"/>
      <c r="BV35" s="6"/>
      <c r="BX35" s="6"/>
      <c r="BZ35" s="6"/>
      <c r="CB35" s="6"/>
      <c r="CD35" s="6"/>
      <c r="CF35" s="6"/>
      <c r="CH35" s="6"/>
      <c r="CJ35" s="6"/>
      <c r="CL35" s="6"/>
      <c r="CN35" s="6"/>
      <c r="CP35" s="6"/>
      <c r="CR35" s="6"/>
      <c r="CT35" s="6"/>
      <c r="CV35" s="6"/>
      <c r="CX35" s="6"/>
      <c r="CZ35" s="6"/>
      <c r="DB35" s="6"/>
      <c r="DD35" s="6"/>
      <c r="DF35" s="6"/>
      <c r="DH35" s="6"/>
      <c r="DJ35" s="6"/>
      <c r="DL35" s="6"/>
      <c r="DN35" s="6"/>
      <c r="DP35" s="6"/>
      <c r="DR35" s="6"/>
      <c r="DT35" s="6"/>
      <c r="DV35" s="6"/>
      <c r="DX35" s="6"/>
      <c r="DZ35" s="6"/>
      <c r="EB35" s="6"/>
      <c r="ED35" s="6"/>
      <c r="EF35" s="6"/>
      <c r="EH35" s="6"/>
      <c r="EJ35" s="6"/>
      <c r="EL35" s="6"/>
      <c r="EN35" s="6"/>
      <c r="EP35" s="6"/>
      <c r="ER35" s="6"/>
      <c r="ET35" s="6"/>
      <c r="EV35" s="6"/>
      <c r="EX35" s="6"/>
      <c r="EZ35" s="6"/>
      <c r="FB35" s="6"/>
      <c r="FD35" s="6"/>
      <c r="FF35" s="6"/>
    </row>
    <row r="36" spans="5:162">
      <c r="E36" s="421">
        <v>41243</v>
      </c>
      <c r="F36" s="25">
        <v>-2.952740341424942E-2</v>
      </c>
      <c r="G36" s="25">
        <v>-0.17112363874912262</v>
      </c>
      <c r="H36" s="25">
        <v>-1.9075492396950722E-2</v>
      </c>
      <c r="I36" s="25">
        <v>6.1464730650186539E-2</v>
      </c>
      <c r="J36" s="25">
        <v>0.1177239790558815</v>
      </c>
      <c r="K36" s="25">
        <v>3.32518070936203E-2</v>
      </c>
      <c r="L36" s="25">
        <v>1.7093241214752197E-2</v>
      </c>
      <c r="M36" s="25">
        <v>-1.8682464957237244E-2</v>
      </c>
      <c r="N36" s="25">
        <v>-6.8566943518817425E-3</v>
      </c>
      <c r="O36" s="25"/>
      <c r="P36" s="421">
        <v>41243</v>
      </c>
      <c r="Q36" s="25">
        <v>6.7269556570834776E-3</v>
      </c>
      <c r="R36" s="25">
        <v>9.8286709523391913E-3</v>
      </c>
      <c r="S36" s="6"/>
      <c r="T36" s="421">
        <v>41243</v>
      </c>
      <c r="U36" s="25">
        <v>2.3129810000000001E-2</v>
      </c>
      <c r="V36" s="287">
        <v>2.0706699999999998E-2</v>
      </c>
      <c r="W36" s="25">
        <v>2.6264550000000001E-2</v>
      </c>
      <c r="X36" s="25">
        <v>3.1400333942729119E-2</v>
      </c>
      <c r="Y36" s="25">
        <v>1.50943E-2</v>
      </c>
      <c r="Z36" s="25">
        <v>-8.659E-2</v>
      </c>
      <c r="AA36" s="25">
        <v>1.18656E-2</v>
      </c>
      <c r="AB36" s="25">
        <v>1.0532950000000001E-2</v>
      </c>
      <c r="AC36" s="25">
        <v>-4.9223000000000001E-3</v>
      </c>
      <c r="AD36" s="260"/>
      <c r="AF36" s="6"/>
      <c r="AH36" s="6"/>
      <c r="AJ36" s="6"/>
      <c r="AL36" s="6"/>
      <c r="AN36" s="6"/>
      <c r="AP36" s="6"/>
      <c r="AR36" s="6"/>
      <c r="AT36" s="6"/>
      <c r="AV36" s="6"/>
      <c r="AX36" s="6"/>
      <c r="AZ36" s="6"/>
      <c r="BB36" s="6"/>
      <c r="BD36" s="6"/>
      <c r="BF36" s="6"/>
      <c r="BH36" s="6"/>
      <c r="BJ36" s="6"/>
      <c r="BL36" s="6"/>
      <c r="BN36" s="6"/>
      <c r="BP36" s="6"/>
      <c r="BR36" s="6"/>
      <c r="BT36" s="6"/>
      <c r="BV36" s="6"/>
      <c r="BX36" s="6"/>
      <c r="BZ36" s="6"/>
      <c r="CB36" s="6"/>
      <c r="CD36" s="6"/>
      <c r="CF36" s="6"/>
      <c r="CH36" s="6"/>
      <c r="CJ36" s="6"/>
      <c r="CL36" s="6"/>
      <c r="CN36" s="6"/>
      <c r="CP36" s="6"/>
      <c r="CR36" s="6"/>
      <c r="CT36" s="6"/>
      <c r="CV36" s="6"/>
      <c r="CX36" s="6"/>
      <c r="CZ36" s="6"/>
      <c r="DB36" s="6"/>
      <c r="DD36" s="6"/>
      <c r="DF36" s="6"/>
      <c r="DH36" s="6"/>
      <c r="DJ36" s="6"/>
      <c r="DL36" s="6"/>
      <c r="DN36" s="6"/>
      <c r="DP36" s="6"/>
      <c r="DR36" s="6"/>
      <c r="DT36" s="6"/>
      <c r="DV36" s="6"/>
      <c r="DX36" s="6"/>
      <c r="DZ36" s="6"/>
      <c r="EB36" s="6"/>
      <c r="ED36" s="6"/>
      <c r="EF36" s="6"/>
      <c r="EH36" s="6"/>
      <c r="EJ36" s="6"/>
      <c r="EL36" s="6"/>
      <c r="EN36" s="6"/>
      <c r="EP36" s="6"/>
      <c r="ER36" s="6"/>
      <c r="ET36" s="6"/>
      <c r="EV36" s="6"/>
      <c r="EX36" s="6"/>
      <c r="EZ36" s="6"/>
      <c r="FB36" s="6"/>
      <c r="FD36" s="6"/>
      <c r="FF36" s="6"/>
    </row>
    <row r="37" spans="5:162">
      <c r="E37" s="421">
        <v>41274</v>
      </c>
      <c r="F37" s="25">
        <v>4.8667088150978088E-2</v>
      </c>
      <c r="G37" s="25">
        <v>0.17287388443946838</v>
      </c>
      <c r="H37" s="25">
        <v>-1.8244059756398201E-3</v>
      </c>
      <c r="I37" s="25">
        <v>0.13501012325286865</v>
      </c>
      <c r="J37" s="25">
        <v>8.0506905913352966E-2</v>
      </c>
      <c r="K37" s="25">
        <v>1.5371359884738922E-2</v>
      </c>
      <c r="L37" s="25">
        <v>8.8602684438228607E-2</v>
      </c>
      <c r="M37" s="25">
        <v>7.6866131275892258E-3</v>
      </c>
      <c r="N37" s="25">
        <v>5.2061812020838261E-3</v>
      </c>
      <c r="O37" s="25"/>
      <c r="P37" s="421">
        <v>41274</v>
      </c>
      <c r="Q37" s="25">
        <v>-6.1507379763174885E-3</v>
      </c>
      <c r="R37" s="25">
        <v>-1.9146266429599157E-2</v>
      </c>
      <c r="S37" s="6"/>
      <c r="T37" s="421">
        <v>41274</v>
      </c>
      <c r="U37" s="25">
        <v>2.6021249999999999E-2</v>
      </c>
      <c r="V37" s="287">
        <v>8.7906200000000004E-2</v>
      </c>
      <c r="W37" s="25">
        <v>2.1333970000000001E-2</v>
      </c>
      <c r="X37" s="25">
        <v>1.280638108296217E-2</v>
      </c>
      <c r="Y37" s="25">
        <v>-2.2769499999999998E-2</v>
      </c>
      <c r="Z37" s="25">
        <v>-1.8456399999999998E-2</v>
      </c>
      <c r="AA37" s="25">
        <v>1.8587199999999998E-2</v>
      </c>
      <c r="AB37" s="25">
        <v>7.4240799999999996E-3</v>
      </c>
      <c r="AC37" s="25">
        <v>1.3288100000000001E-2</v>
      </c>
      <c r="AD37" s="260"/>
      <c r="AF37" s="6"/>
      <c r="AH37" s="6"/>
      <c r="AJ37" s="6"/>
      <c r="AL37" s="6"/>
      <c r="AN37" s="6"/>
      <c r="AP37" s="6"/>
      <c r="AR37" s="6"/>
      <c r="AT37" s="6"/>
      <c r="AV37" s="6"/>
      <c r="AX37" s="6"/>
      <c r="AZ37" s="6"/>
      <c r="BB37" s="6"/>
      <c r="BD37" s="6"/>
      <c r="BF37" s="6"/>
      <c r="BH37" s="6"/>
      <c r="BJ37" s="6"/>
      <c r="BL37" s="6"/>
      <c r="BN37" s="6"/>
      <c r="BP37" s="6"/>
      <c r="BR37" s="6"/>
      <c r="BT37" s="6"/>
      <c r="BV37" s="6"/>
      <c r="BX37" s="6"/>
      <c r="BZ37" s="6"/>
      <c r="CB37" s="6"/>
      <c r="CD37" s="6"/>
      <c r="CF37" s="6"/>
      <c r="CH37" s="6"/>
      <c r="CJ37" s="6"/>
      <c r="CL37" s="6"/>
      <c r="CN37" s="6"/>
      <c r="CP37" s="6"/>
      <c r="CR37" s="6"/>
      <c r="CT37" s="6"/>
      <c r="CV37" s="6"/>
      <c r="CX37" s="6"/>
      <c r="CZ37" s="6"/>
      <c r="DB37" s="6"/>
      <c r="DD37" s="6"/>
      <c r="DF37" s="6"/>
      <c r="DH37" s="6"/>
      <c r="DJ37" s="6"/>
      <c r="DL37" s="6"/>
      <c r="DN37" s="6"/>
      <c r="DP37" s="6"/>
      <c r="DR37" s="6"/>
      <c r="DT37" s="6"/>
      <c r="DV37" s="6"/>
      <c r="DX37" s="6"/>
      <c r="DZ37" s="6"/>
      <c r="EB37" s="6"/>
      <c r="ED37" s="6"/>
      <c r="EF37" s="6"/>
      <c r="EH37" s="6"/>
      <c r="EJ37" s="6"/>
      <c r="EL37" s="6"/>
      <c r="EN37" s="6"/>
      <c r="EP37" s="6"/>
      <c r="ER37" s="6"/>
      <c r="ET37" s="6"/>
      <c r="EV37" s="6"/>
      <c r="EX37" s="6"/>
      <c r="EZ37" s="6"/>
      <c r="FB37" s="6"/>
      <c r="FD37" s="6"/>
      <c r="FF37" s="6"/>
    </row>
    <row r="38" spans="5:162">
      <c r="E38" s="421">
        <v>41305</v>
      </c>
      <c r="F38" s="25">
        <v>6.2696035020053387E-3</v>
      </c>
      <c r="G38" s="25">
        <v>7.2205275297164917E-2</v>
      </c>
      <c r="H38" s="25">
        <v>7.1681596338748932E-2</v>
      </c>
      <c r="I38" s="25">
        <v>-1.8185602501034737E-2</v>
      </c>
      <c r="J38" s="25">
        <v>3.2625295221805573E-2</v>
      </c>
      <c r="K38" s="25">
        <v>0.1907966285943985</v>
      </c>
      <c r="L38" s="25">
        <v>3.9808913134038448E-3</v>
      </c>
      <c r="M38" s="25">
        <v>6.0140948742628098E-2</v>
      </c>
      <c r="N38" s="25">
        <v>5.4493580013513565E-2</v>
      </c>
      <c r="O38" s="25"/>
      <c r="P38" s="421">
        <v>41305</v>
      </c>
      <c r="Q38" s="25">
        <v>-7.9543443971374916E-3</v>
      </c>
      <c r="R38" s="25">
        <v>-2.73932005986397E-2</v>
      </c>
      <c r="S38" s="6"/>
      <c r="T38" s="421">
        <v>41305</v>
      </c>
      <c r="U38" s="25">
        <v>5.6765429999999999E-2</v>
      </c>
      <c r="V38" s="287">
        <v>2.3262999999999999E-2</v>
      </c>
      <c r="W38" s="25">
        <v>5.8708159999999995E-2</v>
      </c>
      <c r="X38" s="25">
        <v>5.1915759660635441E-2</v>
      </c>
      <c r="Y38" s="25">
        <v>-0.1526391</v>
      </c>
      <c r="Z38" s="25">
        <v>-5.8974399999999996E-2</v>
      </c>
      <c r="AA38" s="25">
        <v>5.1010699999999999E-2</v>
      </c>
      <c r="AB38" s="25">
        <v>6.7401309999999992E-2</v>
      </c>
      <c r="AC38" s="25">
        <v>0.11783289999999999</v>
      </c>
      <c r="AD38" s="260"/>
      <c r="AF38" s="6"/>
      <c r="AH38" s="6"/>
      <c r="AJ38" s="6"/>
      <c r="AL38" s="6"/>
      <c r="AN38" s="6"/>
      <c r="AP38" s="6"/>
      <c r="AR38" s="6"/>
      <c r="AT38" s="6"/>
      <c r="AV38" s="6"/>
      <c r="AX38" s="6"/>
      <c r="AZ38" s="6"/>
      <c r="BB38" s="6"/>
      <c r="BD38" s="6"/>
      <c r="BF38" s="6"/>
      <c r="BH38" s="6"/>
      <c r="BJ38" s="6"/>
      <c r="BL38" s="6"/>
      <c r="BN38" s="6"/>
      <c r="BP38" s="6"/>
      <c r="BR38" s="6"/>
      <c r="BT38" s="6"/>
      <c r="BV38" s="6"/>
      <c r="BX38" s="6"/>
      <c r="BZ38" s="6"/>
      <c r="CB38" s="6"/>
      <c r="CD38" s="6"/>
      <c r="CF38" s="6"/>
      <c r="CH38" s="6"/>
      <c r="CJ38" s="6"/>
      <c r="CL38" s="6"/>
      <c r="CN38" s="6"/>
      <c r="CP38" s="6"/>
      <c r="CR38" s="6"/>
      <c r="CT38" s="6"/>
      <c r="CV38" s="6"/>
      <c r="CX38" s="6"/>
      <c r="CZ38" s="6"/>
      <c r="DB38" s="6"/>
      <c r="DD38" s="6"/>
      <c r="DF38" s="6"/>
      <c r="DH38" s="6"/>
      <c r="DJ38" s="6"/>
      <c r="DL38" s="6"/>
      <c r="DN38" s="6"/>
      <c r="DP38" s="6"/>
      <c r="DR38" s="6"/>
      <c r="DT38" s="6"/>
      <c r="DV38" s="6"/>
      <c r="DX38" s="6"/>
      <c r="DZ38" s="6"/>
      <c r="EB38" s="6"/>
      <c r="ED38" s="6"/>
      <c r="EF38" s="6"/>
      <c r="EH38" s="6"/>
      <c r="EJ38" s="6"/>
      <c r="EL38" s="6"/>
      <c r="EN38" s="6"/>
      <c r="EP38" s="6"/>
      <c r="ER38" s="6"/>
      <c r="ET38" s="6"/>
      <c r="EV38" s="6"/>
      <c r="EX38" s="6"/>
      <c r="EZ38" s="6"/>
      <c r="FB38" s="6"/>
      <c r="FD38" s="6"/>
      <c r="FF38" s="6"/>
    </row>
    <row r="39" spans="5:162">
      <c r="E39" s="421">
        <v>41333</v>
      </c>
      <c r="F39" s="25">
        <v>-5.1574934273958206E-2</v>
      </c>
      <c r="G39" s="25">
        <v>0.18516871333122253</v>
      </c>
      <c r="H39" s="25">
        <v>-7.3647074401378632E-2</v>
      </c>
      <c r="I39" s="25">
        <v>-5.6616306304931641E-2</v>
      </c>
      <c r="J39" s="25">
        <v>7.980038970708847E-2</v>
      </c>
      <c r="K39" s="25">
        <v>-9.0875133872032166E-2</v>
      </c>
      <c r="L39" s="25">
        <v>3.9122387766838074E-2</v>
      </c>
      <c r="M39" s="25">
        <v>-6.8488838151097298E-3</v>
      </c>
      <c r="N39" s="25">
        <v>3.7863638252019882E-2</v>
      </c>
      <c r="O39" s="25"/>
      <c r="P39" s="421">
        <v>41333</v>
      </c>
      <c r="Q39" s="25">
        <v>1.4882669014298244E-2</v>
      </c>
      <c r="R39" s="25">
        <v>1.2822921797951192E-2</v>
      </c>
      <c r="S39" s="6"/>
      <c r="T39" s="421">
        <v>41333</v>
      </c>
      <c r="U39" s="25">
        <v>-3.2477350000000002E-2</v>
      </c>
      <c r="V39" s="287">
        <v>-2.5899E-3</v>
      </c>
      <c r="W39" s="25">
        <v>1.2922579999999999E-2</v>
      </c>
      <c r="X39" s="25">
        <v>-1.8484546146112169E-2</v>
      </c>
      <c r="Y39" s="25">
        <v>-1.2345699999999999E-2</v>
      </c>
      <c r="Z39" s="25">
        <v>-0.13623979999999999</v>
      </c>
      <c r="AA39" s="25">
        <v>6.2659999999999994E-4</v>
      </c>
      <c r="AB39" s="25">
        <v>-1.2911470000000001E-2</v>
      </c>
      <c r="AC39" s="25">
        <v>3.2025999999999999E-2</v>
      </c>
      <c r="AD39" s="260"/>
      <c r="AF39" s="6"/>
      <c r="AH39" s="6"/>
      <c r="AJ39" s="6"/>
      <c r="AL39" s="6"/>
      <c r="AN39" s="6"/>
      <c r="AP39" s="6"/>
      <c r="AR39" s="6"/>
      <c r="AT39" s="6"/>
      <c r="AV39" s="6"/>
      <c r="AX39" s="6"/>
      <c r="AZ39" s="6"/>
      <c r="BB39" s="6"/>
      <c r="BD39" s="6"/>
      <c r="BF39" s="6"/>
      <c r="BH39" s="6"/>
      <c r="BJ39" s="6"/>
      <c r="BL39" s="6"/>
      <c r="BN39" s="6"/>
      <c r="BP39" s="6"/>
      <c r="BR39" s="6"/>
      <c r="BT39" s="6"/>
      <c r="BV39" s="6"/>
      <c r="BX39" s="6"/>
      <c r="BZ39" s="6"/>
      <c r="CB39" s="6"/>
      <c r="CD39" s="6"/>
      <c r="CF39" s="6"/>
      <c r="CH39" s="6"/>
      <c r="CJ39" s="6"/>
      <c r="CL39" s="6"/>
      <c r="CN39" s="6"/>
      <c r="CP39" s="6"/>
      <c r="CR39" s="6"/>
      <c r="CT39" s="6"/>
      <c r="CV39" s="6"/>
      <c r="CX39" s="6"/>
      <c r="CZ39" s="6"/>
      <c r="DB39" s="6"/>
      <c r="DD39" s="6"/>
      <c r="DF39" s="6"/>
      <c r="DH39" s="6"/>
      <c r="DJ39" s="6"/>
      <c r="DL39" s="6"/>
      <c r="DN39" s="6"/>
      <c r="DP39" s="6"/>
      <c r="DR39" s="6"/>
      <c r="DT39" s="6"/>
      <c r="DV39" s="6"/>
      <c r="DX39" s="6"/>
      <c r="DZ39" s="6"/>
      <c r="EB39" s="6"/>
      <c r="ED39" s="6"/>
      <c r="EF39" s="6"/>
      <c r="EH39" s="6"/>
      <c r="EJ39" s="6"/>
      <c r="EL39" s="6"/>
      <c r="EN39" s="6"/>
      <c r="EP39" s="6"/>
      <c r="ER39" s="6"/>
      <c r="ET39" s="6"/>
      <c r="EV39" s="6"/>
      <c r="EX39" s="6"/>
      <c r="EZ39" s="6"/>
      <c r="FB39" s="6"/>
      <c r="FD39" s="6"/>
      <c r="FF39" s="6"/>
    </row>
    <row r="40" spans="5:162">
      <c r="E40" s="421">
        <v>41364</v>
      </c>
      <c r="F40" s="25">
        <v>-3.9233535528182983E-2</v>
      </c>
      <c r="G40" s="25">
        <v>0.11958122253417969</v>
      </c>
      <c r="H40" s="25">
        <v>3.2189022749662399E-2</v>
      </c>
      <c r="I40" s="25">
        <v>-6.3041985034942627E-2</v>
      </c>
      <c r="J40" s="25">
        <v>1.3098903931677341E-2</v>
      </c>
      <c r="K40" s="25">
        <v>4.3942913413047791E-2</v>
      </c>
      <c r="L40" s="25">
        <v>0.10697023570537567</v>
      </c>
      <c r="M40" s="25">
        <v>6.2092319130897522E-2</v>
      </c>
      <c r="N40" s="25">
        <v>7.1212716400623322E-2</v>
      </c>
      <c r="O40" s="25"/>
      <c r="P40" s="421">
        <v>41364</v>
      </c>
      <c r="Q40" s="25">
        <v>1.0472985604785823E-2</v>
      </c>
      <c r="R40" s="25">
        <v>-1.7649595362968507E-3</v>
      </c>
      <c r="S40" s="6"/>
      <c r="T40" s="421">
        <v>41364</v>
      </c>
      <c r="U40" s="25">
        <v>1.8252210000000001E-2</v>
      </c>
      <c r="V40" s="287">
        <v>1.56483E-2</v>
      </c>
      <c r="W40" s="25">
        <v>1.898553E-2</v>
      </c>
      <c r="X40" s="25">
        <v>2.2715048272907268E-2</v>
      </c>
      <c r="Y40" s="25">
        <v>-4.60227E-2</v>
      </c>
      <c r="Z40" s="25">
        <v>-1.0514999999999999E-3</v>
      </c>
      <c r="AA40" s="25">
        <v>2.3660999999999998E-2</v>
      </c>
      <c r="AB40" s="25">
        <v>1.5814640000000001E-2</v>
      </c>
      <c r="AC40" s="25">
        <v>7.6999700000000004E-2</v>
      </c>
      <c r="AD40" s="260"/>
      <c r="AF40" s="6"/>
      <c r="AH40" s="6"/>
      <c r="AJ40" s="6"/>
      <c r="AL40" s="6"/>
      <c r="AN40" s="6"/>
      <c r="AP40" s="6"/>
      <c r="AR40" s="6"/>
      <c r="AT40" s="6"/>
      <c r="AV40" s="6"/>
      <c r="AX40" s="6"/>
      <c r="AZ40" s="6"/>
      <c r="BB40" s="6"/>
      <c r="BD40" s="6"/>
      <c r="BF40" s="6"/>
      <c r="BH40" s="6"/>
      <c r="BJ40" s="6"/>
      <c r="BL40" s="6"/>
      <c r="BN40" s="6"/>
      <c r="BP40" s="6"/>
      <c r="BR40" s="6"/>
      <c r="BT40" s="6"/>
      <c r="BV40" s="6"/>
      <c r="BX40" s="6"/>
      <c r="BZ40" s="6"/>
      <c r="CB40" s="6"/>
      <c r="CD40" s="6"/>
      <c r="CF40" s="6"/>
      <c r="CH40" s="6"/>
      <c r="CJ40" s="6"/>
      <c r="CL40" s="6"/>
      <c r="CN40" s="6"/>
      <c r="CP40" s="6"/>
      <c r="CR40" s="6"/>
      <c r="CT40" s="6"/>
      <c r="CV40" s="6"/>
      <c r="CX40" s="6"/>
      <c r="CZ40" s="6"/>
      <c r="DB40" s="6"/>
      <c r="DD40" s="6"/>
      <c r="DF40" s="6"/>
      <c r="DH40" s="6"/>
      <c r="DJ40" s="6"/>
      <c r="DL40" s="6"/>
      <c r="DN40" s="6"/>
      <c r="DP40" s="6"/>
      <c r="DR40" s="6"/>
      <c r="DT40" s="6"/>
      <c r="DV40" s="6"/>
      <c r="DX40" s="6"/>
      <c r="DZ40" s="6"/>
      <c r="EB40" s="6"/>
      <c r="ED40" s="6"/>
      <c r="EF40" s="6"/>
      <c r="EH40" s="6"/>
      <c r="EJ40" s="6"/>
      <c r="EL40" s="6"/>
      <c r="EN40" s="6"/>
      <c r="EP40" s="6"/>
      <c r="ER40" s="6"/>
      <c r="ET40" s="6"/>
      <c r="EV40" s="6"/>
      <c r="EX40" s="6"/>
      <c r="EZ40" s="6"/>
      <c r="FB40" s="6"/>
      <c r="FD40" s="6"/>
      <c r="FF40" s="6"/>
    </row>
    <row r="41" spans="5:162">
      <c r="E41" s="421">
        <v>41394</v>
      </c>
      <c r="F41" s="25">
        <v>-7.0465393364429474E-2</v>
      </c>
      <c r="G41" s="25">
        <v>8.3140842616558075E-2</v>
      </c>
      <c r="H41" s="25">
        <v>3.9482507854700089E-2</v>
      </c>
      <c r="I41" s="25">
        <v>0.1244472861289978</v>
      </c>
      <c r="J41" s="25">
        <v>0.12010952830314636</v>
      </c>
      <c r="K41" s="25">
        <v>-6.7354485392570496E-2</v>
      </c>
      <c r="L41" s="25">
        <v>3.5964608192443848E-2</v>
      </c>
      <c r="M41" s="25">
        <v>-5.0445385277271271E-2</v>
      </c>
      <c r="N41" s="25">
        <v>4.5382067561149597E-2</v>
      </c>
      <c r="O41" s="25"/>
      <c r="P41" s="421">
        <v>41394</v>
      </c>
      <c r="Q41" s="25">
        <v>1.9307976658735848E-2</v>
      </c>
      <c r="R41" s="25">
        <v>2.1483178124026781E-2</v>
      </c>
      <c r="S41" s="6"/>
      <c r="T41" s="421">
        <v>41394</v>
      </c>
      <c r="U41" s="25">
        <v>5.0089740000000001E-2</v>
      </c>
      <c r="V41" s="287">
        <v>0.13949220000000001</v>
      </c>
      <c r="W41" s="25">
        <v>-5.3918600000000009E-3</v>
      </c>
      <c r="X41" s="25">
        <v>3.6659619870514248E-2</v>
      </c>
      <c r="Y41" s="25">
        <v>6.5515E-3</v>
      </c>
      <c r="Z41" s="25">
        <v>-0.17473680000000003</v>
      </c>
      <c r="AA41" s="25">
        <v>3.23962E-2</v>
      </c>
      <c r="AB41" s="25">
        <v>3.6036329999999998E-2</v>
      </c>
      <c r="AC41" s="25">
        <v>3.6286600000000002E-2</v>
      </c>
      <c r="AD41" s="260"/>
      <c r="AF41" s="6"/>
      <c r="AH41" s="6"/>
      <c r="AJ41" s="6"/>
      <c r="AL41" s="6"/>
      <c r="AN41" s="6"/>
      <c r="AP41" s="6"/>
      <c r="AR41" s="6"/>
      <c r="AT41" s="6"/>
      <c r="AV41" s="6"/>
      <c r="AX41" s="6"/>
      <c r="AZ41" s="6"/>
      <c r="BB41" s="6"/>
      <c r="BD41" s="6"/>
      <c r="BF41" s="6"/>
      <c r="BH41" s="6"/>
      <c r="BJ41" s="6"/>
      <c r="BL41" s="6"/>
      <c r="BN41" s="6"/>
      <c r="BP41" s="6"/>
      <c r="BR41" s="6"/>
      <c r="BT41" s="6"/>
      <c r="BV41" s="6"/>
      <c r="BX41" s="6"/>
      <c r="BZ41" s="6"/>
      <c r="CB41" s="6"/>
      <c r="CD41" s="6"/>
      <c r="CF41" s="6"/>
      <c r="CH41" s="6"/>
      <c r="CJ41" s="6"/>
      <c r="CL41" s="6"/>
      <c r="CN41" s="6"/>
      <c r="CP41" s="6"/>
      <c r="CR41" s="6"/>
      <c r="CT41" s="6"/>
      <c r="CV41" s="6"/>
      <c r="CX41" s="6"/>
      <c r="CZ41" s="6"/>
      <c r="DB41" s="6"/>
      <c r="DD41" s="6"/>
      <c r="DF41" s="6"/>
      <c r="DH41" s="6"/>
      <c r="DJ41" s="6"/>
      <c r="DL41" s="6"/>
      <c r="DN41" s="6"/>
      <c r="DP41" s="6"/>
      <c r="DR41" s="6"/>
      <c r="DT41" s="6"/>
      <c r="DV41" s="6"/>
      <c r="DX41" s="6"/>
      <c r="DZ41" s="6"/>
      <c r="EB41" s="6"/>
      <c r="ED41" s="6"/>
      <c r="EF41" s="6"/>
      <c r="EH41" s="6"/>
      <c r="EJ41" s="6"/>
      <c r="EL41" s="6"/>
      <c r="EN41" s="6"/>
      <c r="EP41" s="6"/>
      <c r="ER41" s="6"/>
      <c r="ET41" s="6"/>
      <c r="EV41" s="6"/>
      <c r="EX41" s="6"/>
      <c r="EZ41" s="6"/>
      <c r="FB41" s="6"/>
      <c r="FD41" s="6"/>
      <c r="FF41" s="6"/>
    </row>
    <row r="42" spans="5:162">
      <c r="E42" s="421">
        <v>41425</v>
      </c>
      <c r="F42" s="25">
        <v>9.8079191520810127E-3</v>
      </c>
      <c r="G42" s="25">
        <v>0.70102834701538086</v>
      </c>
      <c r="H42" s="25">
        <v>1.1815414763987064E-3</v>
      </c>
      <c r="I42" s="25">
        <v>-3.922466654330492E-3</v>
      </c>
      <c r="J42" s="25">
        <v>2.7980362996459007E-2</v>
      </c>
      <c r="K42" s="25">
        <v>6.4026474952697754E-2</v>
      </c>
      <c r="L42" s="25">
        <v>-4.8136644065380096E-2</v>
      </c>
      <c r="M42" s="25">
        <v>3.1820099800825119E-2</v>
      </c>
      <c r="N42" s="25">
        <v>-4.8449002206325531E-3</v>
      </c>
      <c r="O42" s="25"/>
      <c r="P42" s="421">
        <v>41425</v>
      </c>
      <c r="Q42" s="25">
        <v>-3.5125549517368571E-2</v>
      </c>
      <c r="R42" s="25">
        <v>-4.9050220541593137E-2</v>
      </c>
      <c r="S42" s="6"/>
      <c r="T42" s="421">
        <v>41425</v>
      </c>
      <c r="U42" s="25">
        <v>6.4903800000000005E-3</v>
      </c>
      <c r="V42" s="287">
        <v>6.5629099999999996E-2</v>
      </c>
      <c r="W42" s="25">
        <v>2.4310700000000001E-2</v>
      </c>
      <c r="X42" s="25">
        <v>3.3388612183606892E-3</v>
      </c>
      <c r="Y42" s="25">
        <v>-5.5029599999999998E-2</v>
      </c>
      <c r="Z42" s="25">
        <v>-6.7601999999999995E-2</v>
      </c>
      <c r="AA42" s="25">
        <v>1.0242999999999999E-3</v>
      </c>
      <c r="AB42" s="25">
        <v>2.6931050000000002E-2</v>
      </c>
      <c r="AC42" s="25">
        <v>4.2301700000000005E-2</v>
      </c>
      <c r="AD42" s="260"/>
      <c r="AF42" s="6"/>
      <c r="AH42" s="6"/>
      <c r="AJ42" s="6"/>
      <c r="AL42" s="6"/>
      <c r="AN42" s="6"/>
      <c r="AP42" s="6"/>
      <c r="AR42" s="6"/>
      <c r="AT42" s="6"/>
      <c r="AV42" s="6"/>
      <c r="AX42" s="6"/>
      <c r="AZ42" s="6"/>
      <c r="BB42" s="6"/>
      <c r="BD42" s="6"/>
      <c r="BF42" s="6"/>
      <c r="BH42" s="6"/>
      <c r="BJ42" s="6"/>
      <c r="BL42" s="6"/>
      <c r="BN42" s="6"/>
      <c r="BP42" s="6"/>
      <c r="BR42" s="6"/>
      <c r="BT42" s="6"/>
      <c r="BV42" s="6"/>
      <c r="BX42" s="6"/>
      <c r="BZ42" s="6"/>
      <c r="CB42" s="6"/>
      <c r="CD42" s="6"/>
      <c r="CF42" s="6"/>
      <c r="CH42" s="6"/>
      <c r="CJ42" s="6"/>
      <c r="CL42" s="6"/>
      <c r="CN42" s="6"/>
      <c r="CP42" s="6"/>
      <c r="CR42" s="6"/>
      <c r="CT42" s="6"/>
      <c r="CV42" s="6"/>
      <c r="CX42" s="6"/>
      <c r="CZ42" s="6"/>
      <c r="DB42" s="6"/>
      <c r="DD42" s="6"/>
      <c r="DF42" s="6"/>
      <c r="DH42" s="6"/>
      <c r="DJ42" s="6"/>
      <c r="DL42" s="6"/>
      <c r="DN42" s="6"/>
      <c r="DP42" s="6"/>
      <c r="DR42" s="6"/>
      <c r="DT42" s="6"/>
      <c r="DV42" s="6"/>
      <c r="DX42" s="6"/>
      <c r="DZ42" s="6"/>
      <c r="EB42" s="6"/>
      <c r="ED42" s="6"/>
      <c r="EF42" s="6"/>
      <c r="EH42" s="6"/>
      <c r="EJ42" s="6"/>
      <c r="EL42" s="6"/>
      <c r="EN42" s="6"/>
      <c r="EP42" s="6"/>
      <c r="ER42" s="6"/>
      <c r="ET42" s="6"/>
      <c r="EV42" s="6"/>
      <c r="EX42" s="6"/>
      <c r="EZ42" s="6"/>
      <c r="FB42" s="6"/>
      <c r="FD42" s="6"/>
      <c r="FF42" s="6"/>
    </row>
    <row r="43" spans="5:162">
      <c r="E43" s="421">
        <v>41455</v>
      </c>
      <c r="F43" s="25">
        <v>-0.14002424478530884</v>
      </c>
      <c r="G43" s="25">
        <v>-3.873535618185997E-2</v>
      </c>
      <c r="H43" s="25">
        <v>-3.8062058389186859E-2</v>
      </c>
      <c r="I43" s="25">
        <v>-0.14655916392803192</v>
      </c>
      <c r="J43" s="25">
        <v>1.3128357939422131E-2</v>
      </c>
      <c r="K43" s="25">
        <v>-4.0553834289312363E-2</v>
      </c>
      <c r="L43" s="25">
        <v>6.1757165938615799E-2</v>
      </c>
      <c r="M43" s="25">
        <v>-8.1290267407894135E-2</v>
      </c>
      <c r="N43" s="25">
        <v>1.9957235082983971E-2</v>
      </c>
      <c r="O43" s="25"/>
      <c r="P43" s="421">
        <v>41455</v>
      </c>
      <c r="Q43" s="25">
        <v>-2.9120405729270549E-2</v>
      </c>
      <c r="R43" s="25">
        <v>-1.2994601526464922E-2</v>
      </c>
      <c r="S43" s="6"/>
      <c r="T43" s="421">
        <v>41455</v>
      </c>
      <c r="U43" s="25">
        <v>-4.9851609999999998E-2</v>
      </c>
      <c r="V43" s="287">
        <v>-2.3409900000000001E-2</v>
      </c>
      <c r="W43" s="25">
        <v>-8.3529799999999994E-3</v>
      </c>
      <c r="X43" s="25">
        <v>-1.8517112322759544E-2</v>
      </c>
      <c r="Y43" s="25">
        <v>3.3500299999999997E-2</v>
      </c>
      <c r="Z43" s="25">
        <v>-0.1805746</v>
      </c>
      <c r="AA43" s="25">
        <v>-2.5107599999999997E-2</v>
      </c>
      <c r="AB43" s="25">
        <v>-2.7691029999999998E-2</v>
      </c>
      <c r="AC43" s="25">
        <v>-2.8673299999999999E-2</v>
      </c>
      <c r="AD43" s="260"/>
      <c r="AF43" s="6"/>
      <c r="AH43" s="6"/>
      <c r="AJ43" s="6"/>
      <c r="AL43" s="6"/>
      <c r="AN43" s="6"/>
      <c r="AP43" s="6"/>
      <c r="AR43" s="6"/>
      <c r="AT43" s="6"/>
      <c r="AV43" s="6"/>
      <c r="AX43" s="6"/>
      <c r="AZ43" s="6"/>
      <c r="BB43" s="6"/>
      <c r="BD43" s="6"/>
      <c r="BF43" s="6"/>
      <c r="BH43" s="6"/>
      <c r="BJ43" s="6"/>
      <c r="BL43" s="6"/>
      <c r="BN43" s="6"/>
      <c r="BP43" s="6"/>
      <c r="BR43" s="6"/>
      <c r="BT43" s="6"/>
      <c r="BV43" s="6"/>
      <c r="BX43" s="6"/>
      <c r="BZ43" s="6"/>
      <c r="CB43" s="6"/>
      <c r="CD43" s="6"/>
      <c r="CF43" s="6"/>
      <c r="CH43" s="6"/>
      <c r="CJ43" s="6"/>
      <c r="CL43" s="6"/>
      <c r="CN43" s="6"/>
      <c r="CP43" s="6"/>
      <c r="CR43" s="6"/>
      <c r="CT43" s="6"/>
      <c r="CV43" s="6"/>
      <c r="CX43" s="6"/>
      <c r="CZ43" s="6"/>
      <c r="DB43" s="6"/>
      <c r="DD43" s="6"/>
      <c r="DF43" s="6"/>
      <c r="DH43" s="6"/>
      <c r="DJ43" s="6"/>
      <c r="DL43" s="6"/>
      <c r="DN43" s="6"/>
      <c r="DP43" s="6"/>
      <c r="DR43" s="6"/>
      <c r="DT43" s="6"/>
      <c r="DV43" s="6"/>
      <c r="DX43" s="6"/>
      <c r="DZ43" s="6"/>
      <c r="EB43" s="6"/>
      <c r="ED43" s="6"/>
      <c r="EF43" s="6"/>
      <c r="EH43" s="6"/>
      <c r="EJ43" s="6"/>
      <c r="EL43" s="6"/>
      <c r="EN43" s="6"/>
      <c r="EP43" s="6"/>
      <c r="ER43" s="6"/>
      <c r="ET43" s="6"/>
      <c r="EV43" s="6"/>
      <c r="EX43" s="6"/>
      <c r="EZ43" s="6"/>
      <c r="FB43" s="6"/>
      <c r="FD43" s="6"/>
      <c r="FF43" s="6"/>
    </row>
    <row r="44" spans="5:162">
      <c r="E44" s="421">
        <v>41486</v>
      </c>
      <c r="F44" s="25">
        <v>0.17152942717075348</v>
      </c>
      <c r="G44" s="25">
        <v>0.42631208896636963</v>
      </c>
      <c r="H44" s="25">
        <v>-1.9614554475992918E-3</v>
      </c>
      <c r="I44" s="25">
        <v>1.6352223232388496E-2</v>
      </c>
      <c r="J44" s="25">
        <v>6.5935566090047359E-3</v>
      </c>
      <c r="K44" s="25">
        <v>0.17346362769603729</v>
      </c>
      <c r="L44" s="25">
        <v>3.7752415984869003E-2</v>
      </c>
      <c r="M44" s="25">
        <v>2.056407742202282E-2</v>
      </c>
      <c r="N44" s="25">
        <v>8.8982060551643372E-2</v>
      </c>
      <c r="O44" s="25"/>
      <c r="P44" s="421">
        <v>41486</v>
      </c>
      <c r="Q44" s="25">
        <v>-6.2002766873472392E-3</v>
      </c>
      <c r="R44" s="25">
        <v>-1.3673870333988258E-2</v>
      </c>
      <c r="S44" s="6"/>
      <c r="T44" s="421">
        <v>41486</v>
      </c>
      <c r="U44" s="25">
        <v>6.5608410000000006E-2</v>
      </c>
      <c r="V44" s="287">
        <v>6.8827200000000005E-2</v>
      </c>
      <c r="W44" s="25">
        <v>4.2444229999999999E-2</v>
      </c>
      <c r="X44" s="25">
        <v>5.8935883384451104E-2</v>
      </c>
      <c r="Y44" s="25">
        <v>-0.1002726</v>
      </c>
      <c r="Z44" s="25">
        <v>0.1218698</v>
      </c>
      <c r="AA44" s="25">
        <v>5.2551399999999998E-2</v>
      </c>
      <c r="AB44" s="25">
        <v>3.9525489999999996E-2</v>
      </c>
      <c r="AC44" s="25">
        <v>8.2170699999999999E-2</v>
      </c>
      <c r="AD44" s="260"/>
      <c r="AF44" s="6"/>
      <c r="AH44" s="6"/>
      <c r="AJ44" s="6"/>
      <c r="AL44" s="6"/>
      <c r="AN44" s="6"/>
      <c r="AP44" s="6"/>
      <c r="AR44" s="6"/>
      <c r="AT44" s="6"/>
      <c r="AV44" s="6"/>
      <c r="AX44" s="6"/>
      <c r="AZ44" s="6"/>
      <c r="BB44" s="6"/>
      <c r="BD44" s="6"/>
      <c r="BF44" s="6"/>
      <c r="BH44" s="6"/>
      <c r="BJ44" s="6"/>
      <c r="BL44" s="6"/>
      <c r="BN44" s="6"/>
      <c r="BP44" s="6"/>
      <c r="BR44" s="6"/>
      <c r="BT44" s="6"/>
      <c r="BV44" s="6"/>
      <c r="BX44" s="6"/>
      <c r="BZ44" s="6"/>
      <c r="CB44" s="6"/>
      <c r="CD44" s="6"/>
      <c r="CF44" s="6"/>
      <c r="CH44" s="6"/>
      <c r="CJ44" s="6"/>
      <c r="CL44" s="6"/>
      <c r="CN44" s="6"/>
      <c r="CP44" s="6"/>
      <c r="CR44" s="6"/>
      <c r="CT44" s="6"/>
      <c r="CV44" s="6"/>
      <c r="CX44" s="6"/>
      <c r="CZ44" s="6"/>
      <c r="DB44" s="6"/>
      <c r="DD44" s="6"/>
      <c r="DF44" s="6"/>
      <c r="DH44" s="6"/>
      <c r="DJ44" s="6"/>
      <c r="DL44" s="6"/>
      <c r="DN44" s="6"/>
      <c r="DP44" s="6"/>
      <c r="DR44" s="6"/>
      <c r="DT44" s="6"/>
      <c r="DV44" s="6"/>
      <c r="DX44" s="6"/>
      <c r="DZ44" s="6"/>
      <c r="EB44" s="6"/>
      <c r="ED44" s="6"/>
      <c r="EF44" s="6"/>
      <c r="EH44" s="6"/>
      <c r="EJ44" s="6"/>
      <c r="EL44" s="6"/>
      <c r="EN44" s="6"/>
      <c r="EP44" s="6"/>
      <c r="ER44" s="6"/>
      <c r="ET44" s="6"/>
      <c r="EV44" s="6"/>
      <c r="EX44" s="6"/>
      <c r="EZ44" s="6"/>
      <c r="FB44" s="6"/>
      <c r="FD44" s="6"/>
      <c r="FF44" s="6"/>
    </row>
    <row r="45" spans="5:162">
      <c r="E45" s="421">
        <v>41517</v>
      </c>
      <c r="F45" s="25">
        <v>1.7272556200623512E-2</v>
      </c>
      <c r="G45" s="25">
        <v>-7.7463835477828979E-2</v>
      </c>
      <c r="H45" s="25">
        <v>1.4627302065491676E-2</v>
      </c>
      <c r="I45" s="25">
        <v>-5.1967434585094452E-2</v>
      </c>
      <c r="J45" s="25">
        <v>-2.5930549018085003E-3</v>
      </c>
      <c r="K45" s="25">
        <v>-3.4615375101566315E-2</v>
      </c>
      <c r="L45" s="25">
        <v>-3.236040472984314E-2</v>
      </c>
      <c r="M45" s="25">
        <v>-6.0765434056520462E-2</v>
      </c>
      <c r="N45" s="25">
        <v>-6.892973929643631E-2</v>
      </c>
      <c r="O45" s="25"/>
      <c r="P45" s="421">
        <v>41517</v>
      </c>
      <c r="Q45" s="25">
        <v>-2.2417363025583503E-2</v>
      </c>
      <c r="R45" s="25">
        <v>-1.1143866358590215E-2</v>
      </c>
      <c r="S45" s="6"/>
      <c r="T45" s="421">
        <v>41517</v>
      </c>
      <c r="U45" s="25">
        <v>-9.0683400000000011E-3</v>
      </c>
      <c r="V45" s="287">
        <v>-4.0179900000000005E-2</v>
      </c>
      <c r="W45" s="25">
        <v>-1.051242E-2</v>
      </c>
      <c r="X45" s="25">
        <v>-2.8690991448110159E-2</v>
      </c>
      <c r="Y45" s="25">
        <v>2.7609400000000003E-2</v>
      </c>
      <c r="Z45" s="25">
        <v>8.779759999999999E-2</v>
      </c>
      <c r="AA45" s="25">
        <v>-2.1673499999999998E-2</v>
      </c>
      <c r="AB45" s="25">
        <v>-2.6109469999999999E-2</v>
      </c>
      <c r="AC45" s="25">
        <v>-8.3327700000000005E-2</v>
      </c>
      <c r="AD45" s="260"/>
      <c r="AF45" s="6"/>
      <c r="AH45" s="6"/>
      <c r="AJ45" s="6"/>
      <c r="AL45" s="6"/>
      <c r="AN45" s="6"/>
      <c r="AP45" s="6"/>
      <c r="AR45" s="6"/>
      <c r="AT45" s="6"/>
      <c r="AV45" s="6"/>
      <c r="AX45" s="6"/>
      <c r="AZ45" s="6"/>
      <c r="BB45" s="6"/>
      <c r="BD45" s="6"/>
      <c r="BF45" s="6"/>
      <c r="BH45" s="6"/>
      <c r="BJ45" s="6"/>
      <c r="BL45" s="6"/>
      <c r="BN45" s="6"/>
      <c r="BP45" s="6"/>
      <c r="BR45" s="6"/>
      <c r="BT45" s="6"/>
      <c r="BV45" s="6"/>
      <c r="BX45" s="6"/>
      <c r="BZ45" s="6"/>
      <c r="CB45" s="6"/>
      <c r="CD45" s="6"/>
      <c r="CF45" s="6"/>
      <c r="CH45" s="6"/>
      <c r="CJ45" s="6"/>
      <c r="CL45" s="6"/>
      <c r="CN45" s="6"/>
      <c r="CP45" s="6"/>
      <c r="CR45" s="6"/>
      <c r="CT45" s="6"/>
      <c r="CV45" s="6"/>
      <c r="CX45" s="6"/>
      <c r="CZ45" s="6"/>
      <c r="DB45" s="6"/>
      <c r="DD45" s="6"/>
      <c r="DF45" s="6"/>
      <c r="DH45" s="6"/>
      <c r="DJ45" s="6"/>
      <c r="DL45" s="6"/>
      <c r="DN45" s="6"/>
      <c r="DP45" s="6"/>
      <c r="DR45" s="6"/>
      <c r="DT45" s="6"/>
      <c r="DV45" s="6"/>
      <c r="DX45" s="6"/>
      <c r="DZ45" s="6"/>
      <c r="EB45" s="6"/>
      <c r="ED45" s="6"/>
      <c r="EF45" s="6"/>
      <c r="EH45" s="6"/>
      <c r="EJ45" s="6"/>
      <c r="EL45" s="6"/>
      <c r="EN45" s="6"/>
      <c r="EP45" s="6"/>
      <c r="ER45" s="6"/>
      <c r="ET45" s="6"/>
      <c r="EV45" s="6"/>
      <c r="EX45" s="6"/>
      <c r="EZ45" s="6"/>
      <c r="FB45" s="6"/>
      <c r="FD45" s="6"/>
      <c r="FF45" s="6"/>
    </row>
    <row r="46" spans="5:162">
      <c r="E46" s="421">
        <v>41547</v>
      </c>
      <c r="F46" s="25">
        <v>0.12379065155982971</v>
      </c>
      <c r="G46" s="25">
        <v>0.3525470495223999</v>
      </c>
      <c r="H46" s="25">
        <v>1.6130682080984116E-2</v>
      </c>
      <c r="I46" s="25">
        <v>0.17260713875293732</v>
      </c>
      <c r="J46" s="25">
        <v>6.5984383225440979E-2</v>
      </c>
      <c r="K46" s="25">
        <v>4.5897375792264938E-2</v>
      </c>
      <c r="L46" s="25">
        <v>0.13530054688453674</v>
      </c>
      <c r="M46" s="25">
        <v>1.5965325757861137E-2</v>
      </c>
      <c r="N46" s="25">
        <v>3.2403660006821156E-3</v>
      </c>
      <c r="O46" s="25"/>
      <c r="P46" s="421">
        <v>41547</v>
      </c>
      <c r="Q46" s="25">
        <v>1.6545408130703931E-2</v>
      </c>
      <c r="R46" s="25">
        <v>1.8048311462288691E-3</v>
      </c>
      <c r="S46" s="6"/>
      <c r="T46" s="421">
        <v>41547</v>
      </c>
      <c r="U46" s="25">
        <v>5.9314390000000002E-2</v>
      </c>
      <c r="V46" s="287">
        <v>0.14123939999999999</v>
      </c>
      <c r="W46" s="25">
        <v>4.672424E-2</v>
      </c>
      <c r="X46" s="25">
        <v>6.4458364823571257E-2</v>
      </c>
      <c r="Y46" s="25">
        <v>-4.8492800000000003E-2</v>
      </c>
      <c r="Z46" s="25">
        <v>-8.8919300000000007E-2</v>
      </c>
      <c r="AA46" s="25">
        <v>5.0047899999999999E-2</v>
      </c>
      <c r="AB46" s="25">
        <v>5.1426720000000002E-2</v>
      </c>
      <c r="AC46" s="25">
        <v>4.3822599999999996E-2</v>
      </c>
      <c r="AD46" s="260"/>
      <c r="AF46" s="6"/>
      <c r="AH46" s="6"/>
      <c r="AJ46" s="6"/>
      <c r="AL46" s="6"/>
      <c r="AN46" s="6"/>
      <c r="AP46" s="6"/>
      <c r="AR46" s="6"/>
      <c r="AT46" s="6"/>
      <c r="AV46" s="6"/>
      <c r="AX46" s="6"/>
      <c r="AZ46" s="6"/>
      <c r="BB46" s="6"/>
      <c r="BD46" s="6"/>
      <c r="BF46" s="6"/>
      <c r="BH46" s="6"/>
      <c r="BJ46" s="6"/>
      <c r="BL46" s="6"/>
      <c r="BN46" s="6"/>
      <c r="BP46" s="6"/>
      <c r="BR46" s="6"/>
      <c r="BT46" s="6"/>
      <c r="BV46" s="6"/>
      <c r="BX46" s="6"/>
      <c r="BZ46" s="6"/>
      <c r="CB46" s="6"/>
      <c r="CD46" s="6"/>
      <c r="CF46" s="6"/>
      <c r="CH46" s="6"/>
      <c r="CJ46" s="6"/>
      <c r="CL46" s="6"/>
      <c r="CN46" s="6"/>
      <c r="CP46" s="6"/>
      <c r="CR46" s="6"/>
      <c r="CT46" s="6"/>
      <c r="CV46" s="6"/>
      <c r="CX46" s="6"/>
      <c r="CZ46" s="6"/>
      <c r="DB46" s="6"/>
      <c r="DD46" s="6"/>
      <c r="DF46" s="6"/>
      <c r="DH46" s="6"/>
      <c r="DJ46" s="6"/>
      <c r="DL46" s="6"/>
      <c r="DN46" s="6"/>
      <c r="DP46" s="6"/>
      <c r="DR46" s="6"/>
      <c r="DT46" s="6"/>
      <c r="DV46" s="6"/>
      <c r="DX46" s="6"/>
      <c r="DZ46" s="6"/>
      <c r="EB46" s="6"/>
      <c r="ED46" s="6"/>
      <c r="EF46" s="6"/>
      <c r="EH46" s="6"/>
      <c r="EJ46" s="6"/>
      <c r="EL46" s="6"/>
      <c r="EN46" s="6"/>
      <c r="EP46" s="6"/>
      <c r="ER46" s="6"/>
      <c r="ET46" s="6"/>
      <c r="EV46" s="6"/>
      <c r="EX46" s="6"/>
      <c r="EZ46" s="6"/>
      <c r="FB46" s="6"/>
      <c r="FD46" s="6"/>
      <c r="FF46" s="6"/>
    </row>
    <row r="47" spans="5:162">
      <c r="E47" s="421">
        <v>41578</v>
      </c>
      <c r="F47" s="25">
        <v>5.3056932985782623E-2</v>
      </c>
      <c r="G47" s="25">
        <v>6.491117924451828E-2</v>
      </c>
      <c r="H47" s="25">
        <v>0.10571345686912537</v>
      </c>
      <c r="I47" s="25">
        <v>0.16776686906814575</v>
      </c>
      <c r="J47" s="25">
        <v>1.4510360546410084E-2</v>
      </c>
      <c r="K47" s="25">
        <v>9.9150225520133972E-2</v>
      </c>
      <c r="L47" s="25">
        <v>4.3896805495023727E-2</v>
      </c>
      <c r="M47" s="25">
        <v>-3.2238904386758804E-2</v>
      </c>
      <c r="N47" s="25">
        <v>6.8289309740066528E-2</v>
      </c>
      <c r="O47" s="25"/>
      <c r="P47" s="421">
        <v>41578</v>
      </c>
      <c r="Q47" s="25">
        <v>1.0280476511857817E-2</v>
      </c>
      <c r="R47" s="25">
        <v>1.8069414433012909E-3</v>
      </c>
      <c r="S47" s="6"/>
      <c r="T47" s="421">
        <v>41578</v>
      </c>
      <c r="U47" s="25">
        <v>3.9490020000000001E-2</v>
      </c>
      <c r="V47" s="287">
        <v>3.4603500000000002E-2</v>
      </c>
      <c r="W47" s="25">
        <v>2.8465760000000003E-2</v>
      </c>
      <c r="X47" s="25">
        <v>3.3593786778892465E-2</v>
      </c>
      <c r="Y47" s="25">
        <v>-8.5915999999999992E-2</v>
      </c>
      <c r="Z47" s="25">
        <v>-3.6035999999999999E-2</v>
      </c>
      <c r="AA47" s="25">
        <v>3.8718000000000002E-2</v>
      </c>
      <c r="AB47" s="25">
        <v>3.9091399999999998E-2</v>
      </c>
      <c r="AC47" s="25">
        <v>5.55989E-2</v>
      </c>
      <c r="AD47" s="260"/>
      <c r="AF47" s="6"/>
      <c r="AH47" s="6"/>
      <c r="AJ47" s="6"/>
      <c r="AL47" s="6"/>
      <c r="AN47" s="6"/>
      <c r="AP47" s="6"/>
      <c r="AR47" s="6"/>
      <c r="AT47" s="6"/>
      <c r="AV47" s="6"/>
      <c r="AX47" s="6"/>
      <c r="AZ47" s="6"/>
      <c r="BB47" s="6"/>
      <c r="BD47" s="6"/>
      <c r="BF47" s="6"/>
      <c r="BH47" s="6"/>
      <c r="BJ47" s="6"/>
      <c r="BL47" s="6"/>
      <c r="BN47" s="6"/>
      <c r="BP47" s="6"/>
      <c r="BR47" s="6"/>
      <c r="BT47" s="6"/>
      <c r="BV47" s="6"/>
      <c r="BX47" s="6"/>
      <c r="BZ47" s="6"/>
      <c r="CB47" s="6"/>
      <c r="CD47" s="6"/>
      <c r="CF47" s="6"/>
      <c r="CH47" s="6"/>
      <c r="CJ47" s="6"/>
      <c r="CL47" s="6"/>
      <c r="CN47" s="6"/>
      <c r="CP47" s="6"/>
      <c r="CR47" s="6"/>
      <c r="CT47" s="6"/>
      <c r="CV47" s="6"/>
      <c r="CX47" s="6"/>
      <c r="CZ47" s="6"/>
      <c r="DB47" s="6"/>
      <c r="DD47" s="6"/>
      <c r="DF47" s="6"/>
      <c r="DH47" s="6"/>
      <c r="DJ47" s="6"/>
      <c r="DL47" s="6"/>
      <c r="DN47" s="6"/>
      <c r="DP47" s="6"/>
      <c r="DR47" s="6"/>
      <c r="DT47" s="6"/>
      <c r="DV47" s="6"/>
      <c r="DX47" s="6"/>
      <c r="DZ47" s="6"/>
      <c r="EB47" s="6"/>
      <c r="ED47" s="6"/>
      <c r="EF47" s="6"/>
      <c r="EH47" s="6"/>
      <c r="EJ47" s="6"/>
      <c r="EL47" s="6"/>
      <c r="EN47" s="6"/>
      <c r="EP47" s="6"/>
      <c r="ER47" s="6"/>
      <c r="ET47" s="6"/>
      <c r="EV47" s="6"/>
      <c r="EX47" s="6"/>
      <c r="EZ47" s="6"/>
      <c r="FB47" s="6"/>
      <c r="FD47" s="6"/>
      <c r="FF47" s="6"/>
    </row>
    <row r="48" spans="5:162">
      <c r="E48" s="421">
        <v>41608</v>
      </c>
      <c r="F48" s="25">
        <v>-7.707706093788147E-2</v>
      </c>
      <c r="G48" s="25">
        <v>6.2536969780921936E-2</v>
      </c>
      <c r="H48" s="25">
        <v>3.0286870896816254E-2</v>
      </c>
      <c r="I48" s="25">
        <v>2.872026339173317E-2</v>
      </c>
      <c r="J48" s="25">
        <v>-3.8553483784198761E-2</v>
      </c>
      <c r="K48" s="25">
        <v>1.1673958972096443E-2</v>
      </c>
      <c r="L48" s="25">
        <v>4.7215048223733902E-2</v>
      </c>
      <c r="M48" s="25">
        <v>7.9381633549928665E-3</v>
      </c>
      <c r="N48" s="25">
        <v>2.9218355193734169E-2</v>
      </c>
      <c r="O48" s="25"/>
      <c r="P48" s="421">
        <v>41608</v>
      </c>
      <c r="Q48" s="25">
        <v>2.9723620432513087E-2</v>
      </c>
      <c r="R48" s="25">
        <v>-2.1740526653821535E-2</v>
      </c>
      <c r="S48" s="6"/>
      <c r="T48" s="421">
        <v>41608</v>
      </c>
      <c r="U48" s="25">
        <v>1.9185850000000001E-2</v>
      </c>
      <c r="V48" s="287">
        <v>2.2909999999999999E-4</v>
      </c>
      <c r="W48" s="25">
        <v>1.8522959999999998E-2</v>
      </c>
      <c r="X48" s="25">
        <v>2.6912500751511859E-2</v>
      </c>
      <c r="Y48" s="25">
        <v>-1.3938600000000001E-2</v>
      </c>
      <c r="Z48" s="25">
        <v>-8.566979999999999E-2</v>
      </c>
      <c r="AA48" s="25">
        <v>1.8204100000000001E-2</v>
      </c>
      <c r="AB48" s="25">
        <v>1.9602170000000002E-2</v>
      </c>
      <c r="AC48" s="25">
        <v>7.5243500000000005E-2</v>
      </c>
      <c r="AD48" s="260"/>
      <c r="AF48" s="6"/>
      <c r="AH48" s="6"/>
      <c r="AJ48" s="6"/>
      <c r="AL48" s="6"/>
      <c r="AN48" s="6"/>
      <c r="AP48" s="6"/>
      <c r="AR48" s="6"/>
      <c r="AT48" s="6"/>
      <c r="AV48" s="6"/>
      <c r="AX48" s="6"/>
      <c r="AZ48" s="6"/>
      <c r="BB48" s="6"/>
      <c r="BD48" s="6"/>
      <c r="BF48" s="6"/>
      <c r="BH48" s="6"/>
      <c r="BJ48" s="6"/>
      <c r="BL48" s="6"/>
      <c r="BN48" s="6"/>
      <c r="BP48" s="6"/>
      <c r="BR48" s="6"/>
      <c r="BT48" s="6"/>
      <c r="BV48" s="6"/>
      <c r="BX48" s="6"/>
      <c r="BZ48" s="6"/>
      <c r="CB48" s="6"/>
      <c r="CD48" s="6"/>
      <c r="CF48" s="6"/>
      <c r="CH48" s="6"/>
      <c r="CJ48" s="6"/>
      <c r="CL48" s="6"/>
      <c r="CN48" s="6"/>
      <c r="CP48" s="6"/>
      <c r="CR48" s="6"/>
      <c r="CT48" s="6"/>
      <c r="CV48" s="6"/>
      <c r="CX48" s="6"/>
      <c r="CZ48" s="6"/>
      <c r="DB48" s="6"/>
      <c r="DD48" s="6"/>
      <c r="DF48" s="6"/>
      <c r="DH48" s="6"/>
      <c r="DJ48" s="6"/>
      <c r="DL48" s="6"/>
      <c r="DN48" s="6"/>
      <c r="DP48" s="6"/>
      <c r="DR48" s="6"/>
      <c r="DT48" s="6"/>
      <c r="DV48" s="6"/>
      <c r="DX48" s="6"/>
      <c r="DZ48" s="6"/>
      <c r="EB48" s="6"/>
      <c r="ED48" s="6"/>
      <c r="EF48" s="6"/>
      <c r="EH48" s="6"/>
      <c r="EJ48" s="6"/>
      <c r="EL48" s="6"/>
      <c r="EN48" s="6"/>
      <c r="EP48" s="6"/>
      <c r="ER48" s="6"/>
      <c r="ET48" s="6"/>
      <c r="EV48" s="6"/>
      <c r="EX48" s="6"/>
      <c r="EZ48" s="6"/>
      <c r="FB48" s="6"/>
      <c r="FD48" s="6"/>
      <c r="FF48" s="6"/>
    </row>
    <row r="49" spans="5:162">
      <c r="E49" s="421">
        <v>41639</v>
      </c>
      <c r="F49" s="25">
        <v>-2.3861166089773178E-2</v>
      </c>
      <c r="G49" s="25">
        <v>3.5799555480480194E-2</v>
      </c>
      <c r="H49" s="25">
        <v>2.3804876953363419E-2</v>
      </c>
      <c r="I49" s="25">
        <v>-4.6240661293268204E-2</v>
      </c>
      <c r="J49" s="25">
        <v>-1.9961094483733177E-2</v>
      </c>
      <c r="K49" s="25">
        <v>2.3567702621221542E-2</v>
      </c>
      <c r="L49" s="25">
        <v>5.4579075425863266E-2</v>
      </c>
      <c r="M49" s="25">
        <v>4.3911397457122803E-2</v>
      </c>
      <c r="N49" s="25">
        <v>-3.2431859523057938E-2</v>
      </c>
      <c r="O49" s="25"/>
      <c r="P49" s="421">
        <v>41639</v>
      </c>
      <c r="Q49" s="25">
        <v>-5.175294672324382E-2</v>
      </c>
      <c r="R49" s="25">
        <v>-9.3939095514776749E-3</v>
      </c>
      <c r="S49" s="6"/>
      <c r="T49" s="421">
        <v>41639</v>
      </c>
      <c r="U49" s="25">
        <v>1.9712069999999998E-2</v>
      </c>
      <c r="V49" s="287">
        <v>-2.3422999999999999E-3</v>
      </c>
      <c r="W49" s="25">
        <v>1.0368179999999999E-2</v>
      </c>
      <c r="X49" s="25">
        <v>2.2933483165109569E-2</v>
      </c>
      <c r="Y49" s="25">
        <v>-5.9407800000000004E-2</v>
      </c>
      <c r="Z49" s="25">
        <v>-3.0664400000000001E-2</v>
      </c>
      <c r="AA49" s="25">
        <v>2.0657399999999999E-2</v>
      </c>
      <c r="AB49" s="25">
        <v>2.2299360000000001E-2</v>
      </c>
      <c r="AC49" s="25">
        <v>6.1980599999999997E-2</v>
      </c>
      <c r="AD49" s="260"/>
      <c r="AF49" s="6"/>
      <c r="AH49" s="6"/>
      <c r="AJ49" s="6"/>
      <c r="AL49" s="6"/>
      <c r="AN49" s="6"/>
      <c r="AP49" s="6"/>
      <c r="AR49" s="6"/>
      <c r="AT49" s="6"/>
      <c r="AV49" s="6"/>
      <c r="AX49" s="6"/>
      <c r="AZ49" s="6"/>
      <c r="BB49" s="6"/>
      <c r="BD49" s="6"/>
      <c r="BF49" s="6"/>
      <c r="BH49" s="6"/>
      <c r="BJ49" s="6"/>
      <c r="BL49" s="6"/>
      <c r="BN49" s="6"/>
      <c r="BP49" s="6"/>
      <c r="BR49" s="6"/>
      <c r="BT49" s="6"/>
      <c r="BV49" s="6"/>
      <c r="BX49" s="6"/>
      <c r="BZ49" s="6"/>
      <c r="CB49" s="6"/>
      <c r="CD49" s="6"/>
      <c r="CF49" s="6"/>
      <c r="CH49" s="6"/>
      <c r="CJ49" s="6"/>
      <c r="CL49" s="6"/>
      <c r="CN49" s="6"/>
      <c r="CP49" s="6"/>
      <c r="CR49" s="6"/>
      <c r="CT49" s="6"/>
      <c r="CV49" s="6"/>
      <c r="CX49" s="6"/>
      <c r="CZ49" s="6"/>
      <c r="DB49" s="6"/>
      <c r="DD49" s="6"/>
      <c r="DF49" s="6"/>
      <c r="DH49" s="6"/>
      <c r="DJ49" s="6"/>
      <c r="DL49" s="6"/>
      <c r="DN49" s="6"/>
      <c r="DP49" s="6"/>
      <c r="DR49" s="6"/>
      <c r="DT49" s="6"/>
      <c r="DV49" s="6"/>
      <c r="DX49" s="6"/>
      <c r="DZ49" s="6"/>
      <c r="EB49" s="6"/>
      <c r="ED49" s="6"/>
      <c r="EF49" s="6"/>
      <c r="EH49" s="6"/>
      <c r="EJ49" s="6"/>
      <c r="EL49" s="6"/>
      <c r="EN49" s="6"/>
      <c r="EP49" s="6"/>
      <c r="ER49" s="6"/>
      <c r="ET49" s="6"/>
      <c r="EV49" s="6"/>
      <c r="EX49" s="6"/>
      <c r="EZ49" s="6"/>
      <c r="FB49" s="6"/>
      <c r="FD49" s="6"/>
      <c r="FF49" s="6"/>
    </row>
    <row r="50" spans="5:162">
      <c r="E50" s="421">
        <v>41670</v>
      </c>
      <c r="F50" s="25">
        <v>-2.370368130505085E-2</v>
      </c>
      <c r="G50" s="25">
        <v>0.11163568496704102</v>
      </c>
      <c r="H50" s="25">
        <v>-2.8173357248306274E-2</v>
      </c>
      <c r="I50" s="25">
        <v>-8.319120854139328E-2</v>
      </c>
      <c r="J50" s="25">
        <v>-4.935074970126152E-2</v>
      </c>
      <c r="K50" s="25">
        <v>-5.0901476293802261E-2</v>
      </c>
      <c r="L50" s="25">
        <v>-1.1506537906825542E-2</v>
      </c>
      <c r="M50" s="25">
        <v>-5.8058328926563263E-2</v>
      </c>
      <c r="N50" s="25">
        <v>-3.4064855426549911E-2</v>
      </c>
      <c r="O50" s="25"/>
      <c r="P50" s="421">
        <v>41670</v>
      </c>
      <c r="Q50" s="25">
        <v>5.6160602058837661E-2</v>
      </c>
      <c r="R50" s="25">
        <v>5.4975947332666752E-2</v>
      </c>
      <c r="S50" s="6"/>
      <c r="T50" s="421">
        <v>41670</v>
      </c>
      <c r="U50" s="25">
        <v>-4.0328030000000001E-2</v>
      </c>
      <c r="V50" s="287">
        <v>4.7577000000000001E-3</v>
      </c>
      <c r="W50" s="25">
        <v>-1.207052E-2</v>
      </c>
      <c r="X50" s="25">
        <v>-3.4183997240553654E-2</v>
      </c>
      <c r="Y50" s="25">
        <v>0.13017870000000001</v>
      </c>
      <c r="Z50" s="25">
        <v>8.9630899999999999E-2</v>
      </c>
      <c r="AA50" s="25">
        <v>-3.7541600000000001E-2</v>
      </c>
      <c r="AB50" s="25">
        <v>-2.39019E-2</v>
      </c>
      <c r="AC50" s="25">
        <v>-0.1043125</v>
      </c>
      <c r="AD50" s="260"/>
      <c r="AF50" s="6"/>
      <c r="AH50" s="6"/>
      <c r="AJ50" s="6"/>
      <c r="AL50" s="6"/>
      <c r="AN50" s="6"/>
      <c r="AP50" s="6"/>
      <c r="AR50" s="6"/>
      <c r="AT50" s="6"/>
      <c r="AV50" s="6"/>
      <c r="AX50" s="6"/>
      <c r="AZ50" s="6"/>
      <c r="BB50" s="6"/>
      <c r="BD50" s="6"/>
      <c r="BF50" s="6"/>
      <c r="BH50" s="6"/>
      <c r="BJ50" s="6"/>
      <c r="BL50" s="6"/>
      <c r="BN50" s="6"/>
      <c r="BP50" s="6"/>
      <c r="BR50" s="6"/>
      <c r="BT50" s="6"/>
      <c r="BV50" s="6"/>
      <c r="BX50" s="6"/>
      <c r="BZ50" s="6"/>
      <c r="CB50" s="6"/>
      <c r="CD50" s="6"/>
      <c r="CF50" s="6"/>
      <c r="CH50" s="6"/>
      <c r="CJ50" s="6"/>
      <c r="CL50" s="6"/>
      <c r="CN50" s="6"/>
      <c r="CP50" s="6"/>
      <c r="CR50" s="6"/>
      <c r="CT50" s="6"/>
      <c r="CV50" s="6"/>
      <c r="CX50" s="6"/>
      <c r="CZ50" s="6"/>
      <c r="DB50" s="6"/>
      <c r="DD50" s="6"/>
      <c r="DF50" s="6"/>
      <c r="DH50" s="6"/>
      <c r="DJ50" s="6"/>
      <c r="DL50" s="6"/>
      <c r="DN50" s="6"/>
      <c r="DP50" s="6"/>
      <c r="DR50" s="6"/>
      <c r="DT50" s="6"/>
      <c r="DV50" s="6"/>
      <c r="DX50" s="6"/>
      <c r="DZ50" s="6"/>
      <c r="EB50" s="6"/>
      <c r="ED50" s="6"/>
      <c r="EF50" s="6"/>
      <c r="EH50" s="6"/>
      <c r="EJ50" s="6"/>
      <c r="EL50" s="6"/>
      <c r="EN50" s="6"/>
      <c r="EP50" s="6"/>
      <c r="ER50" s="6"/>
      <c r="ET50" s="6"/>
      <c r="EV50" s="6"/>
      <c r="EX50" s="6"/>
      <c r="EZ50" s="6"/>
      <c r="FB50" s="6"/>
      <c r="FD50" s="6"/>
      <c r="FF50" s="6"/>
    </row>
    <row r="51" spans="5:162">
      <c r="E51" s="421">
        <v>41698</v>
      </c>
      <c r="F51" s="25">
        <v>-6.0318667441606522E-2</v>
      </c>
      <c r="G51" s="25">
        <v>9.9468238651752472E-2</v>
      </c>
      <c r="H51" s="25">
        <v>8.8651753962039948E-2</v>
      </c>
      <c r="I51" s="25">
        <v>0.20581063628196716</v>
      </c>
      <c r="J51" s="25">
        <v>-1.4790707267820835E-2</v>
      </c>
      <c r="K51" s="25">
        <v>5.1589892245829105E-3</v>
      </c>
      <c r="L51" s="25">
        <v>0.15948639810085297</v>
      </c>
      <c r="M51" s="25">
        <v>5.3753156214952469E-2</v>
      </c>
      <c r="N51" s="25">
        <v>4.8765987157821655E-2</v>
      </c>
      <c r="O51" s="25"/>
      <c r="P51" s="421">
        <v>41698</v>
      </c>
      <c r="Q51" s="25">
        <v>4.2482195516018173E-3</v>
      </c>
      <c r="R51" s="25">
        <v>7.7219066565454852E-3</v>
      </c>
      <c r="S51" s="6"/>
      <c r="T51" s="421">
        <v>41698</v>
      </c>
      <c r="U51" s="25">
        <v>5.6364049999999999E-2</v>
      </c>
      <c r="V51" s="287">
        <v>7.7687300000000001E-2</v>
      </c>
      <c r="W51" s="25">
        <v>6.0434260000000004E-2</v>
      </c>
      <c r="X51" s="25">
        <v>6.3221754447908118E-2</v>
      </c>
      <c r="Y51" s="25">
        <v>-0.1069182</v>
      </c>
      <c r="Z51" s="25">
        <v>0.1532258</v>
      </c>
      <c r="AA51" s="25">
        <v>4.9546400000000004E-2</v>
      </c>
      <c r="AB51" s="25">
        <v>5.6516749999999998E-2</v>
      </c>
      <c r="AC51" s="25">
        <v>8.5128700000000002E-2</v>
      </c>
      <c r="AD51" s="260"/>
      <c r="AF51" s="6"/>
      <c r="AH51" s="6"/>
      <c r="AJ51" s="6"/>
      <c r="AL51" s="6"/>
      <c r="AN51" s="6"/>
      <c r="AP51" s="6"/>
      <c r="AR51" s="6"/>
      <c r="AT51" s="6"/>
      <c r="AV51" s="6"/>
      <c r="AX51" s="6"/>
      <c r="AZ51" s="6"/>
      <c r="BB51" s="6"/>
      <c r="BD51" s="6"/>
      <c r="BF51" s="6"/>
      <c r="BH51" s="6"/>
      <c r="BJ51" s="6"/>
      <c r="BL51" s="6"/>
      <c r="BN51" s="6"/>
      <c r="BP51" s="6"/>
      <c r="BR51" s="6"/>
      <c r="BT51" s="6"/>
      <c r="BV51" s="6"/>
      <c r="BX51" s="6"/>
      <c r="BZ51" s="6"/>
      <c r="CB51" s="6"/>
      <c r="CD51" s="6"/>
      <c r="CF51" s="6"/>
      <c r="CH51" s="6"/>
      <c r="CJ51" s="6"/>
      <c r="CL51" s="6"/>
      <c r="CN51" s="6"/>
      <c r="CP51" s="6"/>
      <c r="CR51" s="6"/>
      <c r="CT51" s="6"/>
      <c r="CV51" s="6"/>
      <c r="CX51" s="6"/>
      <c r="CZ51" s="6"/>
      <c r="DB51" s="6"/>
      <c r="DD51" s="6"/>
      <c r="DF51" s="6"/>
      <c r="DH51" s="6"/>
      <c r="DJ51" s="6"/>
      <c r="DL51" s="6"/>
      <c r="DN51" s="6"/>
      <c r="DP51" s="6"/>
      <c r="DR51" s="6"/>
      <c r="DT51" s="6"/>
      <c r="DV51" s="6"/>
      <c r="DX51" s="6"/>
      <c r="DZ51" s="6"/>
      <c r="EB51" s="6"/>
      <c r="ED51" s="6"/>
      <c r="EF51" s="6"/>
      <c r="EH51" s="6"/>
      <c r="EJ51" s="6"/>
      <c r="EL51" s="6"/>
      <c r="EN51" s="6"/>
      <c r="EP51" s="6"/>
      <c r="ER51" s="6"/>
      <c r="ET51" s="6"/>
      <c r="EV51" s="6"/>
      <c r="EX51" s="6"/>
      <c r="EZ51" s="6"/>
      <c r="FB51" s="6"/>
      <c r="FD51" s="6"/>
      <c r="FF51" s="6"/>
    </row>
    <row r="52" spans="5:162">
      <c r="E52" s="421">
        <v>41729</v>
      </c>
      <c r="F52" s="25">
        <v>-4.4408803805708885E-3</v>
      </c>
      <c r="G52" s="25">
        <v>0.11177646368741989</v>
      </c>
      <c r="H52" s="25">
        <v>-5.3324155509471893E-2</v>
      </c>
      <c r="I52" s="25">
        <v>-7.7501009218394756E-3</v>
      </c>
      <c r="J52" s="25">
        <v>6.113861221820116E-3</v>
      </c>
      <c r="K52" s="25">
        <v>3.5968914162367582E-3</v>
      </c>
      <c r="L52" s="25">
        <v>-4.2109865695238113E-2</v>
      </c>
      <c r="M52" s="25">
        <v>3.9531238377094269E-2</v>
      </c>
      <c r="N52" s="25">
        <v>6.6326528787612915E-2</v>
      </c>
      <c r="O52" s="25"/>
      <c r="P52" s="421">
        <v>41729</v>
      </c>
      <c r="Q52" s="25">
        <v>-1.8938612643493169E-3</v>
      </c>
      <c r="R52" s="25">
        <v>9.3563301989714187E-3</v>
      </c>
      <c r="S52" s="6"/>
      <c r="T52" s="421">
        <v>41729</v>
      </c>
      <c r="U52" s="25">
        <v>-4.2629599999999997E-3</v>
      </c>
      <c r="V52" s="287">
        <v>-8.8683000000000008E-3</v>
      </c>
      <c r="W52" s="25">
        <v>-5.7734700000000002E-3</v>
      </c>
      <c r="X52" s="25">
        <v>-2.1810862374543993E-2</v>
      </c>
      <c r="Y52" s="25">
        <v>-5.2112699999999998E-2</v>
      </c>
      <c r="Z52" s="25">
        <v>-8.9510500000000007E-2</v>
      </c>
      <c r="AA52" s="25">
        <v>1.5677E-3</v>
      </c>
      <c r="AB52" s="25">
        <v>-9.5937000000000001E-3</v>
      </c>
      <c r="AC52" s="25">
        <v>1.5859600000000001E-2</v>
      </c>
      <c r="AD52" s="260"/>
      <c r="AF52" s="6"/>
      <c r="AH52" s="6"/>
      <c r="AJ52" s="6"/>
      <c r="AL52" s="6"/>
      <c r="AN52" s="6"/>
      <c r="AP52" s="6"/>
      <c r="AR52" s="6"/>
      <c r="AT52" s="6"/>
      <c r="AV52" s="6"/>
      <c r="AX52" s="6"/>
      <c r="AZ52" s="6"/>
      <c r="BB52" s="6"/>
      <c r="BD52" s="6"/>
      <c r="BF52" s="6"/>
      <c r="BH52" s="6"/>
      <c r="BJ52" s="6"/>
      <c r="BL52" s="6"/>
      <c r="BN52" s="6"/>
      <c r="BP52" s="6"/>
      <c r="BR52" s="6"/>
      <c r="BT52" s="6"/>
      <c r="BV52" s="6"/>
      <c r="BX52" s="6"/>
      <c r="BZ52" s="6"/>
      <c r="CB52" s="6"/>
      <c r="CD52" s="6"/>
      <c r="CF52" s="6"/>
      <c r="CH52" s="6"/>
      <c r="CJ52" s="6"/>
      <c r="CL52" s="6"/>
      <c r="CN52" s="6"/>
      <c r="CP52" s="6"/>
      <c r="CR52" s="6"/>
      <c r="CT52" s="6"/>
      <c r="CV52" s="6"/>
      <c r="CX52" s="6"/>
      <c r="CZ52" s="6"/>
      <c r="DB52" s="6"/>
      <c r="DD52" s="6"/>
      <c r="DF52" s="6"/>
      <c r="DH52" s="6"/>
      <c r="DJ52" s="6"/>
      <c r="DL52" s="6"/>
      <c r="DN52" s="6"/>
      <c r="DP52" s="6"/>
      <c r="DR52" s="6"/>
      <c r="DT52" s="6"/>
      <c r="DV52" s="6"/>
      <c r="DX52" s="6"/>
      <c r="DZ52" s="6"/>
      <c r="EB52" s="6"/>
      <c r="ED52" s="6"/>
      <c r="EF52" s="6"/>
      <c r="EH52" s="6"/>
      <c r="EJ52" s="6"/>
      <c r="EL52" s="6"/>
      <c r="EN52" s="6"/>
      <c r="EP52" s="6"/>
      <c r="ER52" s="6"/>
      <c r="ET52" s="6"/>
      <c r="EV52" s="6"/>
      <c r="EX52" s="6"/>
      <c r="EZ52" s="6"/>
      <c r="FB52" s="6"/>
      <c r="FD52" s="6"/>
      <c r="FF52" s="6"/>
    </row>
    <row r="53" spans="5:162">
      <c r="E53" s="421">
        <v>41759</v>
      </c>
      <c r="F53" s="25">
        <v>-6.3057594001293182E-2</v>
      </c>
      <c r="G53" s="25">
        <v>0.10333398729562759</v>
      </c>
      <c r="H53" s="25">
        <v>5.3363952785730362E-2</v>
      </c>
      <c r="I53" s="25">
        <v>3.0166223645210266E-2</v>
      </c>
      <c r="J53" s="25">
        <v>-4.5466713607311249E-2</v>
      </c>
      <c r="K53" s="25">
        <v>-8.9818574488162994E-2</v>
      </c>
      <c r="L53" s="25">
        <v>-6.1606328934431076E-2</v>
      </c>
      <c r="M53" s="25">
        <v>2.0676396787166595E-2</v>
      </c>
      <c r="N53" s="25">
        <v>3.1151378527283669E-2</v>
      </c>
      <c r="O53" s="25"/>
      <c r="P53" s="421">
        <v>41759</v>
      </c>
      <c r="Q53" s="25">
        <v>1.0156079745703428E-2</v>
      </c>
      <c r="R53" s="25">
        <v>1.3330519684390918E-2</v>
      </c>
      <c r="S53" s="6"/>
      <c r="T53" s="421">
        <v>41759</v>
      </c>
      <c r="U53" s="25">
        <v>2.2959920000000002E-2</v>
      </c>
      <c r="V53" s="287">
        <v>-4.6024599999999999E-2</v>
      </c>
      <c r="W53" s="25">
        <v>-1.546696E-2</v>
      </c>
      <c r="X53" s="25">
        <v>-1.6026955935724785E-2</v>
      </c>
      <c r="Y53" s="25">
        <v>-9.7006999999999996E-2</v>
      </c>
      <c r="Z53" s="25">
        <v>6.1443999999999995E-3</v>
      </c>
      <c r="AA53" s="25">
        <v>1.05822E-2</v>
      </c>
      <c r="AB53" s="25">
        <v>-6.4374299999999992E-3</v>
      </c>
      <c r="AC53" s="25">
        <v>1.4896899999999999E-2</v>
      </c>
      <c r="AD53" s="260"/>
      <c r="AF53" s="6"/>
      <c r="AH53" s="6"/>
      <c r="AJ53" s="6"/>
      <c r="AL53" s="6"/>
      <c r="AN53" s="6"/>
      <c r="AP53" s="6"/>
      <c r="AR53" s="6"/>
      <c r="AT53" s="6"/>
      <c r="AV53" s="6"/>
      <c r="AX53" s="6"/>
      <c r="AZ53" s="6"/>
      <c r="BB53" s="6"/>
      <c r="BD53" s="6"/>
      <c r="BF53" s="6"/>
      <c r="BH53" s="6"/>
      <c r="BJ53" s="6"/>
      <c r="BL53" s="6"/>
      <c r="BN53" s="6"/>
      <c r="BP53" s="6"/>
      <c r="BR53" s="6"/>
      <c r="BT53" s="6"/>
      <c r="BV53" s="6"/>
      <c r="BX53" s="6"/>
      <c r="BZ53" s="6"/>
      <c r="CB53" s="6"/>
      <c r="CD53" s="6"/>
      <c r="CF53" s="6"/>
      <c r="CH53" s="6"/>
      <c r="CJ53" s="6"/>
      <c r="CL53" s="6"/>
      <c r="CN53" s="6"/>
      <c r="CP53" s="6"/>
      <c r="CR53" s="6"/>
      <c r="CT53" s="6"/>
      <c r="CV53" s="6"/>
      <c r="CX53" s="6"/>
      <c r="CZ53" s="6"/>
      <c r="DB53" s="6"/>
      <c r="DD53" s="6"/>
      <c r="DF53" s="6"/>
      <c r="DH53" s="6"/>
      <c r="DJ53" s="6"/>
      <c r="DL53" s="6"/>
      <c r="DN53" s="6"/>
      <c r="DP53" s="6"/>
      <c r="DR53" s="6"/>
      <c r="DT53" s="6"/>
      <c r="DV53" s="6"/>
      <c r="DX53" s="6"/>
      <c r="DZ53" s="6"/>
      <c r="EB53" s="6"/>
      <c r="ED53" s="6"/>
      <c r="EF53" s="6"/>
      <c r="EH53" s="6"/>
      <c r="EJ53" s="6"/>
      <c r="EL53" s="6"/>
      <c r="EN53" s="6"/>
      <c r="EP53" s="6"/>
      <c r="ER53" s="6"/>
      <c r="ET53" s="6"/>
      <c r="EV53" s="6"/>
      <c r="EX53" s="6"/>
      <c r="EZ53" s="6"/>
      <c r="FB53" s="6"/>
      <c r="FD53" s="6"/>
      <c r="FF53" s="6"/>
    </row>
    <row r="54" spans="5:162">
      <c r="E54" s="421">
        <v>41790</v>
      </c>
      <c r="F54" s="25">
        <v>0.12508121132850647</v>
      </c>
      <c r="G54" s="25">
        <v>0.20678377151489258</v>
      </c>
      <c r="H54" s="25">
        <v>1.2511732988059521E-2</v>
      </c>
      <c r="I54" s="25">
        <v>2.1469922736287117E-2</v>
      </c>
      <c r="J54" s="25">
        <v>4.8574361950159073E-2</v>
      </c>
      <c r="K54" s="25">
        <v>2.3286081850528717E-2</v>
      </c>
      <c r="L54" s="25">
        <v>4.6198736876249313E-2</v>
      </c>
      <c r="M54" s="25">
        <v>-5.6185193359851837E-2</v>
      </c>
      <c r="N54" s="25">
        <v>8.6234249174594879E-3</v>
      </c>
      <c r="O54" s="25"/>
      <c r="P54" s="421">
        <v>41790</v>
      </c>
      <c r="Q54" s="25">
        <v>2.023812623442911E-2</v>
      </c>
      <c r="R54" s="25">
        <v>2.1723782386314561E-2</v>
      </c>
      <c r="S54" s="6"/>
      <c r="T54" s="421">
        <v>41790</v>
      </c>
      <c r="U54" s="25">
        <v>1.670189E-2</v>
      </c>
      <c r="V54" s="287">
        <v>4.2814699999999997E-2</v>
      </c>
      <c r="W54" s="25">
        <v>1.5444770000000002E-2</v>
      </c>
      <c r="X54" s="25">
        <v>2.2996312756609516E-2</v>
      </c>
      <c r="Y54" s="25">
        <v>-3.0794499999999999E-2</v>
      </c>
      <c r="Z54" s="25">
        <v>-4.8855000000000003E-2</v>
      </c>
      <c r="AA54" s="25">
        <v>1.9994000000000001E-2</v>
      </c>
      <c r="AB54" s="25">
        <v>1.9374590000000001E-2</v>
      </c>
      <c r="AC54" s="25">
        <v>2.14302E-2</v>
      </c>
      <c r="AD54" s="260"/>
      <c r="AF54" s="6"/>
      <c r="AH54" s="6"/>
      <c r="AJ54" s="6"/>
      <c r="AL54" s="6"/>
      <c r="AN54" s="6"/>
      <c r="AP54" s="6"/>
      <c r="AR54" s="6"/>
      <c r="AT54" s="6"/>
      <c r="AV54" s="6"/>
      <c r="AX54" s="6"/>
      <c r="AZ54" s="6"/>
      <c r="BB54" s="6"/>
      <c r="BD54" s="6"/>
      <c r="BF54" s="6"/>
      <c r="BH54" s="6"/>
      <c r="BJ54" s="6"/>
      <c r="BL54" s="6"/>
      <c r="BN54" s="6"/>
      <c r="BP54" s="6"/>
      <c r="BR54" s="6"/>
      <c r="BT54" s="6"/>
      <c r="BV54" s="6"/>
      <c r="BX54" s="6"/>
      <c r="BZ54" s="6"/>
      <c r="CB54" s="6"/>
      <c r="CD54" s="6"/>
      <c r="CF54" s="6"/>
      <c r="CH54" s="6"/>
      <c r="CJ54" s="6"/>
      <c r="CL54" s="6"/>
      <c r="CN54" s="6"/>
      <c r="CP54" s="6"/>
      <c r="CR54" s="6"/>
      <c r="CT54" s="6"/>
      <c r="CV54" s="6"/>
      <c r="CX54" s="6"/>
      <c r="CZ54" s="6"/>
      <c r="DB54" s="6"/>
      <c r="DD54" s="6"/>
      <c r="DF54" s="6"/>
      <c r="DH54" s="6"/>
      <c r="DJ54" s="6"/>
      <c r="DL54" s="6"/>
      <c r="DN54" s="6"/>
      <c r="DP54" s="6"/>
      <c r="DR54" s="6"/>
      <c r="DT54" s="6"/>
      <c r="DV54" s="6"/>
      <c r="DX54" s="6"/>
      <c r="DZ54" s="6"/>
      <c r="EB54" s="6"/>
      <c r="ED54" s="6"/>
      <c r="EF54" s="6"/>
      <c r="EH54" s="6"/>
      <c r="EJ54" s="6"/>
      <c r="EL54" s="6"/>
      <c r="EN54" s="6"/>
      <c r="EP54" s="6"/>
      <c r="ER54" s="6"/>
      <c r="ET54" s="6"/>
      <c r="EV54" s="6"/>
      <c r="EX54" s="6"/>
      <c r="EZ54" s="6"/>
      <c r="FB54" s="6"/>
      <c r="FD54" s="6"/>
      <c r="FF54" s="6"/>
    </row>
    <row r="55" spans="5:162">
      <c r="E55" s="421">
        <v>41820</v>
      </c>
      <c r="F55" s="25">
        <v>7.5976088643074036E-2</v>
      </c>
      <c r="G55" s="25">
        <v>-5.7656370103359222E-2</v>
      </c>
      <c r="H55" s="25">
        <v>4.3488860130310059E-2</v>
      </c>
      <c r="I55" s="25">
        <v>2.0923832431435585E-2</v>
      </c>
      <c r="J55" s="25">
        <v>6.0651939362287521E-2</v>
      </c>
      <c r="K55" s="25">
        <v>3.5846282262355089E-3</v>
      </c>
      <c r="L55" s="25">
        <v>0.12116517126560211</v>
      </c>
      <c r="M55" s="25">
        <v>-1.6760682687163353E-2</v>
      </c>
      <c r="N55" s="25">
        <v>3.1145280227065086E-2</v>
      </c>
      <c r="O55" s="25"/>
      <c r="P55" s="421">
        <v>41820</v>
      </c>
      <c r="Q55" s="25">
        <v>-1.487476758175732E-3</v>
      </c>
      <c r="R55" s="25">
        <v>-9.9971166943397805E-3</v>
      </c>
      <c r="S55" s="6"/>
      <c r="T55" s="421">
        <v>41820</v>
      </c>
      <c r="U55" s="25">
        <v>-2.8311999999999999E-3</v>
      </c>
      <c r="V55" s="287">
        <v>7.1148699999999995E-2</v>
      </c>
      <c r="W55" s="25">
        <v>1.3542160000000001E-2</v>
      </c>
      <c r="X55" s="25">
        <v>2.12039409189686E-2</v>
      </c>
      <c r="Y55" s="25">
        <v>-0.10113989999999999</v>
      </c>
      <c r="Z55" s="25">
        <v>0.1845907</v>
      </c>
      <c r="AA55" s="25">
        <v>1.7592699999999999E-2</v>
      </c>
      <c r="AB55" s="25">
        <v>1.1443499999999999E-3</v>
      </c>
      <c r="AC55" s="25">
        <v>1.2818299999999999E-2</v>
      </c>
      <c r="AD55" s="260"/>
      <c r="AF55" s="6"/>
      <c r="AH55" s="6"/>
      <c r="AJ55" s="6"/>
      <c r="AL55" s="6"/>
      <c r="AN55" s="6"/>
      <c r="AP55" s="6"/>
      <c r="AR55" s="6"/>
      <c r="AT55" s="6"/>
      <c r="AV55" s="6"/>
      <c r="AX55" s="6"/>
      <c r="AZ55" s="6"/>
      <c r="BB55" s="6"/>
      <c r="BD55" s="6"/>
      <c r="BF55" s="6"/>
      <c r="BH55" s="6"/>
      <c r="BJ55" s="6"/>
      <c r="BL55" s="6"/>
      <c r="BN55" s="6"/>
      <c r="BP55" s="6"/>
      <c r="BR55" s="6"/>
      <c r="BT55" s="6"/>
      <c r="BV55" s="6"/>
      <c r="BX55" s="6"/>
      <c r="BZ55" s="6"/>
      <c r="CB55" s="6"/>
      <c r="CD55" s="6"/>
      <c r="CF55" s="6"/>
      <c r="CH55" s="6"/>
      <c r="CJ55" s="6"/>
      <c r="CL55" s="6"/>
      <c r="CN55" s="6"/>
      <c r="CP55" s="6"/>
      <c r="CR55" s="6"/>
      <c r="CT55" s="6"/>
      <c r="CV55" s="6"/>
      <c r="CX55" s="6"/>
      <c r="CZ55" s="6"/>
      <c r="DB55" s="6"/>
      <c r="DD55" s="6"/>
      <c r="DF55" s="6"/>
      <c r="DH55" s="6"/>
      <c r="DJ55" s="6"/>
      <c r="DL55" s="6"/>
      <c r="DN55" s="6"/>
      <c r="DP55" s="6"/>
      <c r="DR55" s="6"/>
      <c r="DT55" s="6"/>
      <c r="DV55" s="6"/>
      <c r="DX55" s="6"/>
      <c r="DZ55" s="6"/>
      <c r="EB55" s="6"/>
      <c r="ED55" s="6"/>
      <c r="EF55" s="6"/>
      <c r="EH55" s="6"/>
      <c r="EJ55" s="6"/>
      <c r="EL55" s="6"/>
      <c r="EN55" s="6"/>
      <c r="EP55" s="6"/>
      <c r="ER55" s="6"/>
      <c r="ET55" s="6"/>
      <c r="EV55" s="6"/>
      <c r="EX55" s="6"/>
      <c r="EZ55" s="6"/>
      <c r="FB55" s="6"/>
      <c r="FD55" s="6"/>
      <c r="FF55" s="6"/>
    </row>
    <row r="56" spans="5:162">
      <c r="E56" s="421">
        <v>41851</v>
      </c>
      <c r="F56" s="25">
        <v>-0.11172685027122498</v>
      </c>
      <c r="G56" s="25">
        <v>-0.10383489727973938</v>
      </c>
      <c r="H56" s="25">
        <v>-7.1850575506687164E-2</v>
      </c>
      <c r="I56" s="25">
        <v>3.3863451331853867E-2</v>
      </c>
      <c r="J56" s="25">
        <v>-6.2950537540018559E-3</v>
      </c>
      <c r="K56" s="25">
        <v>-2.6752116158604622E-2</v>
      </c>
      <c r="L56" s="25">
        <v>-4.2980927973985672E-2</v>
      </c>
      <c r="M56" s="25">
        <v>5.7372972369194031E-2</v>
      </c>
      <c r="N56" s="25">
        <v>-4.3299559503793716E-2</v>
      </c>
      <c r="O56" s="25"/>
      <c r="P56" s="421">
        <v>41851</v>
      </c>
      <c r="Q56" s="25">
        <v>3.8228142046574654E-3</v>
      </c>
      <c r="R56" s="25">
        <v>9.5457124636575408E-3</v>
      </c>
      <c r="S56" s="6"/>
      <c r="T56" s="421">
        <v>41851</v>
      </c>
      <c r="U56" s="25">
        <v>-1.68957E-2</v>
      </c>
      <c r="V56" s="287">
        <v>-4.91592E-2</v>
      </c>
      <c r="W56" s="25">
        <v>-2.058161E-2</v>
      </c>
      <c r="X56" s="25">
        <v>-3.3455601853863648E-2</v>
      </c>
      <c r="Y56" s="25">
        <v>6.8267700000000001E-2</v>
      </c>
      <c r="Z56" s="25">
        <v>-4.2005399999999998E-2</v>
      </c>
      <c r="AA56" s="25">
        <v>-1.6139000000000001E-2</v>
      </c>
      <c r="AB56" s="25">
        <v>-3.2297220000000001E-2</v>
      </c>
      <c r="AC56" s="25">
        <v>-3.03065E-2</v>
      </c>
      <c r="AD56" s="260"/>
      <c r="AF56" s="6"/>
      <c r="AH56" s="6"/>
      <c r="AJ56" s="6"/>
      <c r="AL56" s="6"/>
      <c r="AN56" s="6"/>
      <c r="AP56" s="6"/>
      <c r="AR56" s="6"/>
      <c r="AT56" s="6"/>
      <c r="AV56" s="6"/>
      <c r="AX56" s="6"/>
      <c r="AZ56" s="6"/>
      <c r="BB56" s="6"/>
      <c r="BD56" s="6"/>
      <c r="BF56" s="6"/>
      <c r="BH56" s="6"/>
      <c r="BJ56" s="6"/>
      <c r="BL56" s="6"/>
      <c r="BN56" s="6"/>
      <c r="BP56" s="6"/>
      <c r="BR56" s="6"/>
      <c r="BT56" s="6"/>
      <c r="BV56" s="6"/>
      <c r="BX56" s="6"/>
      <c r="BZ56" s="6"/>
      <c r="CB56" s="6"/>
      <c r="CD56" s="6"/>
      <c r="CF56" s="6"/>
      <c r="CH56" s="6"/>
      <c r="CJ56" s="6"/>
      <c r="CL56" s="6"/>
      <c r="CN56" s="6"/>
      <c r="CP56" s="6"/>
      <c r="CR56" s="6"/>
      <c r="CT56" s="6"/>
      <c r="CV56" s="6"/>
      <c r="CX56" s="6"/>
      <c r="CZ56" s="6"/>
      <c r="DB56" s="6"/>
      <c r="DD56" s="6"/>
      <c r="DF56" s="6"/>
      <c r="DH56" s="6"/>
      <c r="DJ56" s="6"/>
      <c r="DL56" s="6"/>
      <c r="DN56" s="6"/>
      <c r="DP56" s="6"/>
      <c r="DR56" s="6"/>
      <c r="DT56" s="6"/>
      <c r="DV56" s="6"/>
      <c r="DX56" s="6"/>
      <c r="DZ56" s="6"/>
      <c r="EB56" s="6"/>
      <c r="ED56" s="6"/>
      <c r="EF56" s="6"/>
      <c r="EH56" s="6"/>
      <c r="EJ56" s="6"/>
      <c r="EL56" s="6"/>
      <c r="EN56" s="6"/>
      <c r="EP56" s="6"/>
      <c r="ER56" s="6"/>
      <c r="ET56" s="6"/>
      <c r="EV56" s="6"/>
      <c r="EX56" s="6"/>
      <c r="EZ56" s="6"/>
      <c r="FB56" s="6"/>
      <c r="FD56" s="6"/>
      <c r="FF56" s="6"/>
    </row>
    <row r="57" spans="5:162">
      <c r="E57" s="421">
        <v>41882</v>
      </c>
      <c r="F57" s="25">
        <v>-3.823702409863472E-2</v>
      </c>
      <c r="G57" s="25">
        <v>-6.6883303225040436E-2</v>
      </c>
      <c r="H57" s="25">
        <v>-8.786344900727272E-3</v>
      </c>
      <c r="I57" s="25">
        <v>0.1722152978181839</v>
      </c>
      <c r="J57" s="25">
        <v>-4.3822601437568665E-2</v>
      </c>
      <c r="K57" s="25">
        <v>-1.0864174924790859E-2</v>
      </c>
      <c r="L57" s="25">
        <v>3.8268648087978363E-2</v>
      </c>
      <c r="M57" s="25">
        <v>9.2212790623307228E-3</v>
      </c>
      <c r="N57" s="25">
        <v>4.3403711169958115E-2</v>
      </c>
      <c r="O57" s="25"/>
      <c r="P57" s="421">
        <v>41882</v>
      </c>
      <c r="Q57" s="25">
        <v>2.9854980740482207E-2</v>
      </c>
      <c r="R57" s="25">
        <v>3.2370379212924405E-2</v>
      </c>
      <c r="S57" s="6"/>
      <c r="T57" s="421">
        <v>41882</v>
      </c>
      <c r="U57" s="25">
        <v>-1.4654789999999999E-2</v>
      </c>
      <c r="V57" s="287">
        <v>4.7944899999999999E-2</v>
      </c>
      <c r="W57" s="25">
        <v>3.1148920000000004E-2</v>
      </c>
      <c r="X57" s="25">
        <v>2.1599284744381775E-2</v>
      </c>
      <c r="Y57" s="25">
        <v>-5.4306599999999997E-2</v>
      </c>
      <c r="Z57" s="25">
        <v>-1.13154E-2</v>
      </c>
      <c r="AA57" s="25">
        <v>2.14909E-2</v>
      </c>
      <c r="AB57" s="25">
        <v>2.0217849999999999E-2</v>
      </c>
      <c r="AC57" s="25">
        <v>7.0701200000000006E-2</v>
      </c>
      <c r="AD57" s="260"/>
      <c r="AF57" s="6"/>
      <c r="AH57" s="6"/>
      <c r="AJ57" s="6"/>
      <c r="AL57" s="6"/>
      <c r="AN57" s="6"/>
      <c r="AP57" s="6"/>
      <c r="AR57" s="6"/>
      <c r="AT57" s="6"/>
      <c r="AV57" s="6"/>
      <c r="AX57" s="6"/>
      <c r="AZ57" s="6"/>
      <c r="BB57" s="6"/>
      <c r="BD57" s="6"/>
      <c r="BF57" s="6"/>
      <c r="BH57" s="6"/>
      <c r="BJ57" s="6"/>
      <c r="BL57" s="6"/>
      <c r="BN57" s="6"/>
      <c r="BP57" s="6"/>
      <c r="BR57" s="6"/>
      <c r="BT57" s="6"/>
      <c r="BV57" s="6"/>
      <c r="BX57" s="6"/>
      <c r="BZ57" s="6"/>
      <c r="CB57" s="6"/>
      <c r="CD57" s="6"/>
      <c r="CF57" s="6"/>
      <c r="CH57" s="6"/>
      <c r="CJ57" s="6"/>
      <c r="CL57" s="6"/>
      <c r="CN57" s="6"/>
      <c r="CP57" s="6"/>
      <c r="CR57" s="6"/>
      <c r="CT57" s="6"/>
      <c r="CV57" s="6"/>
      <c r="CX57" s="6"/>
      <c r="CZ57" s="6"/>
      <c r="DB57" s="6"/>
      <c r="DD57" s="6"/>
      <c r="DF57" s="6"/>
      <c r="DH57" s="6"/>
      <c r="DJ57" s="6"/>
      <c r="DL57" s="6"/>
      <c r="DN57" s="6"/>
      <c r="DP57" s="6"/>
      <c r="DR57" s="6"/>
      <c r="DT57" s="6"/>
      <c r="DV57" s="6"/>
      <c r="DX57" s="6"/>
      <c r="DZ57" s="6"/>
      <c r="EB57" s="6"/>
      <c r="ED57" s="6"/>
      <c r="EF57" s="6"/>
      <c r="EH57" s="6"/>
      <c r="EJ57" s="6"/>
      <c r="EL57" s="6"/>
      <c r="EN57" s="6"/>
      <c r="EP57" s="6"/>
      <c r="ER57" s="6"/>
      <c r="ET57" s="6"/>
      <c r="EV57" s="6"/>
      <c r="EX57" s="6"/>
      <c r="EZ57" s="6"/>
      <c r="FB57" s="6"/>
      <c r="FD57" s="6"/>
      <c r="FF57" s="6"/>
    </row>
    <row r="58" spans="5:162">
      <c r="E58" s="421">
        <v>41912</v>
      </c>
      <c r="F58" s="25">
        <v>-1.9878651946783066E-2</v>
      </c>
      <c r="G58" s="25">
        <v>-7.317158579826355E-2</v>
      </c>
      <c r="H58" s="25">
        <v>-8.0999501049518585E-2</v>
      </c>
      <c r="I58" s="25">
        <v>-6.0338854789733887E-2</v>
      </c>
      <c r="J58" s="25">
        <v>4.4508989900350571E-2</v>
      </c>
      <c r="K58" s="25">
        <v>4.4859163463115692E-2</v>
      </c>
      <c r="L58" s="25">
        <v>-3.7691239267587662E-2</v>
      </c>
      <c r="M58" s="25">
        <v>-1.2844518758356571E-2</v>
      </c>
      <c r="N58" s="25">
        <v>2.7571579441428185E-2</v>
      </c>
      <c r="O58" s="25"/>
      <c r="P58" s="421">
        <v>41912</v>
      </c>
      <c r="Q58" s="25">
        <v>-1.0086989690503145E-2</v>
      </c>
      <c r="R58" s="25">
        <v>-1.034901424193968E-2</v>
      </c>
      <c r="S58" s="6"/>
      <c r="T58" s="421">
        <v>41912</v>
      </c>
      <c r="U58" s="25">
        <v>-3.4813839999999999E-2</v>
      </c>
      <c r="V58" s="287">
        <v>-8.1838800000000003E-2</v>
      </c>
      <c r="W58" s="25">
        <v>-2.8050549999999997E-2</v>
      </c>
      <c r="X58" s="25">
        <v>-3.2314517595443237E-2</v>
      </c>
      <c r="Y58" s="25">
        <v>0.1666667</v>
      </c>
      <c r="Z58" s="25">
        <v>-0.17453510000000003</v>
      </c>
      <c r="AA58" s="25">
        <v>-2.6777799999999997E-2</v>
      </c>
      <c r="AB58" s="25">
        <v>-2.1164700000000002E-2</v>
      </c>
      <c r="AC58" s="25">
        <v>-8.3087000000000005E-3</v>
      </c>
      <c r="AD58" s="260"/>
      <c r="AF58" s="6"/>
      <c r="AH58" s="6"/>
      <c r="AJ58" s="6"/>
      <c r="AL58" s="6"/>
      <c r="AN58" s="6"/>
      <c r="AP58" s="6"/>
      <c r="AR58" s="6"/>
      <c r="AT58" s="6"/>
      <c r="AV58" s="6"/>
      <c r="AX58" s="6"/>
      <c r="AZ58" s="6"/>
      <c r="BB58" s="6"/>
      <c r="BD58" s="6"/>
      <c r="BF58" s="6"/>
      <c r="BH58" s="6"/>
      <c r="BJ58" s="6"/>
      <c r="BL58" s="6"/>
      <c r="BN58" s="6"/>
      <c r="BP58" s="6"/>
      <c r="BR58" s="6"/>
      <c r="BT58" s="6"/>
      <c r="BV58" s="6"/>
      <c r="BX58" s="6"/>
      <c r="BZ58" s="6"/>
      <c r="CB58" s="6"/>
      <c r="CD58" s="6"/>
      <c r="CF58" s="6"/>
      <c r="CH58" s="6"/>
      <c r="CJ58" s="6"/>
      <c r="CL58" s="6"/>
      <c r="CN58" s="6"/>
      <c r="CP58" s="6"/>
      <c r="CR58" s="6"/>
      <c r="CT58" s="6"/>
      <c r="CV58" s="6"/>
      <c r="CX58" s="6"/>
      <c r="CZ58" s="6"/>
      <c r="DB58" s="6"/>
      <c r="DD58" s="6"/>
      <c r="DF58" s="6"/>
      <c r="DH58" s="6"/>
      <c r="DJ58" s="6"/>
      <c r="DL58" s="6"/>
      <c r="DN58" s="6"/>
      <c r="DP58" s="6"/>
      <c r="DR58" s="6"/>
      <c r="DT58" s="6"/>
      <c r="DV58" s="6"/>
      <c r="DX58" s="6"/>
      <c r="DZ58" s="6"/>
      <c r="EB58" s="6"/>
      <c r="ED58" s="6"/>
      <c r="EF58" s="6"/>
      <c r="EH58" s="6"/>
      <c r="EJ58" s="6"/>
      <c r="EL58" s="6"/>
      <c r="EN58" s="6"/>
      <c r="EP58" s="6"/>
      <c r="ER58" s="6"/>
      <c r="ET58" s="6"/>
      <c r="EV58" s="6"/>
      <c r="EX58" s="6"/>
      <c r="EZ58" s="6"/>
      <c r="FB58" s="6"/>
      <c r="FD58" s="6"/>
      <c r="FF58" s="6"/>
    </row>
    <row r="59" spans="5:162">
      <c r="E59" s="421">
        <v>41943</v>
      </c>
      <c r="F59" s="25">
        <v>-5.5721618235111237E-2</v>
      </c>
      <c r="G59" s="25">
        <v>-0.14414551854133606</v>
      </c>
      <c r="H59" s="25">
        <v>-2.2819487378001213E-2</v>
      </c>
      <c r="I59" s="25">
        <v>7.3368139564990997E-2</v>
      </c>
      <c r="J59" s="25">
        <v>-1.6200173646211624E-2</v>
      </c>
      <c r="K59" s="25">
        <v>-0.12498092651367188</v>
      </c>
      <c r="L59" s="25">
        <v>1.3441248796880245E-2</v>
      </c>
      <c r="M59" s="25">
        <v>-0.13396196067333221</v>
      </c>
      <c r="N59" s="25">
        <v>1.1164274998009205E-2</v>
      </c>
      <c r="O59" s="25"/>
      <c r="P59" s="421">
        <v>41943</v>
      </c>
      <c r="Q59" s="25">
        <v>1.7910596865288619E-2</v>
      </c>
      <c r="R59" s="25">
        <v>1.286707431064027E-2</v>
      </c>
      <c r="S59" s="6"/>
      <c r="T59" s="421">
        <v>41943</v>
      </c>
      <c r="U59" s="25">
        <v>-3.5913140000000003E-2</v>
      </c>
      <c r="V59" s="287">
        <v>-3.5441300000000002E-2</v>
      </c>
      <c r="W59" s="25">
        <v>2.768632E-2</v>
      </c>
      <c r="X59" s="25">
        <v>1.1484558245793641E-2</v>
      </c>
      <c r="Y59" s="25">
        <v>5.4029299999999995E-2</v>
      </c>
      <c r="Z59" s="25">
        <v>-0.17850950000000002</v>
      </c>
      <c r="AA59" s="25">
        <v>6.0746000000000003E-3</v>
      </c>
      <c r="AB59" s="25">
        <v>1.7619999999999999E-3</v>
      </c>
      <c r="AC59" s="25">
        <v>3.7647400000000004E-2</v>
      </c>
      <c r="AD59" s="260"/>
      <c r="AF59" s="6"/>
      <c r="AH59" s="6"/>
      <c r="AJ59" s="6"/>
      <c r="AL59" s="6"/>
      <c r="AN59" s="6"/>
      <c r="AP59" s="6"/>
      <c r="AR59" s="6"/>
      <c r="AT59" s="6"/>
      <c r="AV59" s="6"/>
      <c r="AX59" s="6"/>
      <c r="AZ59" s="6"/>
      <c r="BB59" s="6"/>
      <c r="BD59" s="6"/>
      <c r="BF59" s="6"/>
      <c r="BH59" s="6"/>
      <c r="BJ59" s="6"/>
      <c r="BL59" s="6"/>
      <c r="BN59" s="6"/>
      <c r="BP59" s="6"/>
      <c r="BR59" s="6"/>
      <c r="BT59" s="6"/>
      <c r="BV59" s="6"/>
      <c r="BX59" s="6"/>
      <c r="BZ59" s="6"/>
      <c r="CB59" s="6"/>
      <c r="CD59" s="6"/>
      <c r="CF59" s="6"/>
      <c r="CH59" s="6"/>
      <c r="CJ59" s="6"/>
      <c r="CL59" s="6"/>
      <c r="CN59" s="6"/>
      <c r="CP59" s="6"/>
      <c r="CR59" s="6"/>
      <c r="CT59" s="6"/>
      <c r="CV59" s="6"/>
      <c r="CX59" s="6"/>
      <c r="CZ59" s="6"/>
      <c r="DB59" s="6"/>
      <c r="DD59" s="6"/>
      <c r="DF59" s="6"/>
      <c r="DH59" s="6"/>
      <c r="DJ59" s="6"/>
      <c r="DL59" s="6"/>
      <c r="DN59" s="6"/>
      <c r="DP59" s="6"/>
      <c r="DR59" s="6"/>
      <c r="DT59" s="6"/>
      <c r="DV59" s="6"/>
      <c r="DX59" s="6"/>
      <c r="DZ59" s="6"/>
      <c r="EB59" s="6"/>
      <c r="ED59" s="6"/>
      <c r="EF59" s="6"/>
      <c r="EH59" s="6"/>
      <c r="EJ59" s="6"/>
      <c r="EL59" s="6"/>
      <c r="EN59" s="6"/>
      <c r="EP59" s="6"/>
      <c r="ER59" s="6"/>
      <c r="ET59" s="6"/>
      <c r="EV59" s="6"/>
      <c r="EX59" s="6"/>
      <c r="EZ59" s="6"/>
      <c r="FB59" s="6"/>
      <c r="FD59" s="6"/>
      <c r="FF59" s="6"/>
    </row>
    <row r="60" spans="5:162">
      <c r="E60" s="421">
        <v>41973</v>
      </c>
      <c r="F60" s="25">
        <v>-0.12276735901832581</v>
      </c>
      <c r="G60" s="25">
        <v>0.10347867012023926</v>
      </c>
      <c r="H60" s="25">
        <v>-7.0511765778064728E-2</v>
      </c>
      <c r="I60" s="25">
        <v>-1.4894863590598106E-2</v>
      </c>
      <c r="J60" s="25">
        <v>6.3172824680805206E-2</v>
      </c>
      <c r="K60" s="25">
        <v>8.2729943096637726E-2</v>
      </c>
      <c r="L60" s="25">
        <v>5.07701076567173E-2</v>
      </c>
      <c r="M60" s="25">
        <v>-6.844058632850647E-3</v>
      </c>
      <c r="N60" s="25">
        <v>1.0878929868340492E-2</v>
      </c>
      <c r="O60" s="25"/>
      <c r="P60" s="421">
        <v>41973</v>
      </c>
      <c r="Q60" s="25">
        <v>1.539426780838471E-2</v>
      </c>
      <c r="R60" s="25">
        <v>1.6774733118321894E-2</v>
      </c>
      <c r="S60" s="6"/>
      <c r="T60" s="421">
        <v>41973</v>
      </c>
      <c r="U60" s="25">
        <v>4.3624379999999997E-2</v>
      </c>
      <c r="V60" s="287">
        <v>-1.54793E-2</v>
      </c>
      <c r="W60" s="25">
        <v>3.7357889999999998E-2</v>
      </c>
      <c r="X60" s="25">
        <v>4.1473215634991512E-2</v>
      </c>
      <c r="Y60" s="25">
        <v>0.1880973</v>
      </c>
      <c r="Z60" s="25">
        <v>4.2193999999999999E-3</v>
      </c>
      <c r="AA60" s="25">
        <v>2.0522300000000004E-2</v>
      </c>
      <c r="AB60" s="25">
        <v>3.1545919999999998E-2</v>
      </c>
      <c r="AC60" s="25">
        <v>5.6292200000000001E-2</v>
      </c>
      <c r="AD60" s="260"/>
      <c r="AF60" s="6"/>
      <c r="AH60" s="6"/>
      <c r="AJ60" s="6"/>
      <c r="AL60" s="6"/>
      <c r="AN60" s="6"/>
      <c r="AP60" s="6"/>
      <c r="AR60" s="6"/>
      <c r="AT60" s="6"/>
      <c r="AV60" s="6"/>
      <c r="AX60" s="6"/>
      <c r="AZ60" s="6"/>
      <c r="BB60" s="6"/>
      <c r="BD60" s="6"/>
      <c r="BF60" s="6"/>
      <c r="BH60" s="6"/>
      <c r="BJ60" s="6"/>
      <c r="BL60" s="6"/>
      <c r="BN60" s="6"/>
      <c r="BP60" s="6"/>
      <c r="BR60" s="6"/>
      <c r="BT60" s="6"/>
      <c r="BV60" s="6"/>
      <c r="BX60" s="6"/>
      <c r="BZ60" s="6"/>
      <c r="CB60" s="6"/>
      <c r="CD60" s="6"/>
      <c r="CF60" s="6"/>
      <c r="CH60" s="6"/>
      <c r="CJ60" s="6"/>
      <c r="CL60" s="6"/>
      <c r="CN60" s="6"/>
      <c r="CP60" s="6"/>
      <c r="CR60" s="6"/>
      <c r="CT60" s="6"/>
      <c r="CV60" s="6"/>
      <c r="CX60" s="6"/>
      <c r="CZ60" s="6"/>
      <c r="DB60" s="6"/>
      <c r="DD60" s="6"/>
      <c r="DF60" s="6"/>
      <c r="DH60" s="6"/>
      <c r="DJ60" s="6"/>
      <c r="DL60" s="6"/>
      <c r="DN60" s="6"/>
      <c r="DP60" s="6"/>
      <c r="DR60" s="6"/>
      <c r="DT60" s="6"/>
      <c r="DV60" s="6"/>
      <c r="DX60" s="6"/>
      <c r="DZ60" s="6"/>
      <c r="EB60" s="6"/>
      <c r="ED60" s="6"/>
      <c r="EF60" s="6"/>
      <c r="EH60" s="6"/>
      <c r="EJ60" s="6"/>
      <c r="EL60" s="6"/>
      <c r="EN60" s="6"/>
      <c r="EP60" s="6"/>
      <c r="ER60" s="6"/>
      <c r="ET60" s="6"/>
      <c r="EV60" s="6"/>
      <c r="EX60" s="6"/>
      <c r="EZ60" s="6"/>
      <c r="FB60" s="6"/>
      <c r="FD60" s="6"/>
      <c r="FF60" s="6"/>
    </row>
    <row r="61" spans="5:162">
      <c r="E61" s="421">
        <v>42004</v>
      </c>
      <c r="F61" s="25">
        <v>-0.2479381263256073</v>
      </c>
      <c r="G61" s="25">
        <v>-3.2266385387629271E-3</v>
      </c>
      <c r="H61" s="25">
        <v>-2.6134183630347252E-2</v>
      </c>
      <c r="I61" s="25">
        <v>-8.6842276155948639E-2</v>
      </c>
      <c r="J61" s="25">
        <v>2.2932499647140503E-2</v>
      </c>
      <c r="K61" s="25">
        <v>-3.3557809889316559E-2</v>
      </c>
      <c r="L61" s="25">
        <v>-1.330076064914465E-2</v>
      </c>
      <c r="M61" s="25">
        <v>-1.0667819529771805E-2</v>
      </c>
      <c r="N61" s="25">
        <v>-3.3995382487773895E-2</v>
      </c>
      <c r="O61" s="25"/>
      <c r="P61" s="421">
        <v>42004</v>
      </c>
      <c r="Q61" s="25">
        <v>6.5552153486621023E-3</v>
      </c>
      <c r="R61" s="25">
        <v>2.1783011331136803E-2</v>
      </c>
      <c r="S61" s="6"/>
      <c r="T61" s="421">
        <v>42004</v>
      </c>
      <c r="U61" s="25">
        <v>-5.1853569999999995E-2</v>
      </c>
      <c r="V61" s="287">
        <v>-3.8014699999999998E-2</v>
      </c>
      <c r="W61" s="25">
        <v>-7.1222200000000003E-3</v>
      </c>
      <c r="X61" s="25">
        <v>-1.5223062053644099E-2</v>
      </c>
      <c r="Y61" s="25">
        <v>-2.3948800000000003E-2</v>
      </c>
      <c r="Z61" s="25">
        <v>-2.1007999999999999E-3</v>
      </c>
      <c r="AA61" s="25">
        <v>-1.6465799999999999E-2</v>
      </c>
      <c r="AB61" s="25">
        <v>-1.6361489999999999E-2</v>
      </c>
      <c r="AC61" s="25">
        <v>-1.596E-3</v>
      </c>
      <c r="AD61" s="260"/>
      <c r="AF61" s="6"/>
      <c r="AH61" s="6"/>
      <c r="AJ61" s="6"/>
      <c r="AL61" s="6"/>
      <c r="AN61" s="6"/>
      <c r="AP61" s="6"/>
      <c r="AR61" s="6"/>
      <c r="AT61" s="6"/>
      <c r="AV61" s="6"/>
      <c r="AX61" s="6"/>
      <c r="AZ61" s="6"/>
      <c r="BB61" s="6"/>
      <c r="BD61" s="6"/>
      <c r="BF61" s="6"/>
      <c r="BH61" s="6"/>
      <c r="BJ61" s="6"/>
      <c r="BL61" s="6"/>
      <c r="BN61" s="6"/>
      <c r="BP61" s="6"/>
      <c r="BR61" s="6"/>
      <c r="BT61" s="6"/>
      <c r="BV61" s="6"/>
      <c r="BX61" s="6"/>
      <c r="BZ61" s="6"/>
      <c r="CB61" s="6"/>
      <c r="CD61" s="6"/>
      <c r="CF61" s="6"/>
      <c r="CH61" s="6"/>
      <c r="CJ61" s="6"/>
      <c r="CL61" s="6"/>
      <c r="CN61" s="6"/>
      <c r="CP61" s="6"/>
      <c r="CR61" s="6"/>
      <c r="CT61" s="6"/>
      <c r="CV61" s="6"/>
      <c r="CX61" s="6"/>
      <c r="CZ61" s="6"/>
      <c r="DB61" s="6"/>
      <c r="DD61" s="6"/>
      <c r="DF61" s="6"/>
      <c r="DH61" s="6"/>
      <c r="DJ61" s="6"/>
      <c r="DL61" s="6"/>
      <c r="DN61" s="6"/>
      <c r="DP61" s="6"/>
      <c r="DR61" s="6"/>
      <c r="DT61" s="6"/>
      <c r="DV61" s="6"/>
      <c r="DX61" s="6"/>
      <c r="DZ61" s="6"/>
      <c r="EB61" s="6"/>
      <c r="ED61" s="6"/>
      <c r="EF61" s="6"/>
      <c r="EH61" s="6"/>
      <c r="EJ61" s="6"/>
      <c r="EL61" s="6"/>
      <c r="EN61" s="6"/>
      <c r="EP61" s="6"/>
      <c r="ER61" s="6"/>
      <c r="ET61" s="6"/>
      <c r="EV61" s="6"/>
      <c r="EX61" s="6"/>
      <c r="EZ61" s="6"/>
      <c r="FB61" s="6"/>
      <c r="FD61" s="6"/>
      <c r="FF61" s="6"/>
    </row>
    <row r="62" spans="5:162">
      <c r="E62" s="421">
        <v>42035</v>
      </c>
      <c r="F62" s="25">
        <v>-5.8259107172489166E-2</v>
      </c>
      <c r="G62" s="25">
        <v>6.4614631235599518E-2</v>
      </c>
      <c r="H62" s="25">
        <v>-5.2603268995881081E-3</v>
      </c>
      <c r="I62" s="25">
        <v>0.20344924926757813</v>
      </c>
      <c r="J62" s="25">
        <v>3.2437883317470551E-2</v>
      </c>
      <c r="K62" s="25">
        <v>-5.2183162420988083E-2</v>
      </c>
      <c r="L62" s="25">
        <v>-3.5350754857063293E-2</v>
      </c>
      <c r="M62" s="25">
        <v>-4.4440284371376038E-2</v>
      </c>
      <c r="N62" s="25">
        <v>-4.2363967746496201E-2</v>
      </c>
      <c r="O62" s="25"/>
      <c r="P62" s="421">
        <v>42035</v>
      </c>
      <c r="Q62" s="25">
        <v>4.4990946253669506E-2</v>
      </c>
      <c r="R62" s="25">
        <v>7.132579840757991E-2</v>
      </c>
      <c r="S62" s="6"/>
      <c r="T62" s="421">
        <v>42035</v>
      </c>
      <c r="U62" s="25">
        <v>-1.47809E-3</v>
      </c>
      <c r="V62" s="287">
        <v>2.4963600000000002E-2</v>
      </c>
      <c r="W62" s="25">
        <v>-3.7341499999999999E-3</v>
      </c>
      <c r="X62" s="25">
        <v>-1.7319949110795596E-2</v>
      </c>
      <c r="Y62" s="25">
        <v>7.8291799999999995E-2</v>
      </c>
      <c r="Z62" s="25">
        <v>7.1578900000000001E-2</v>
      </c>
      <c r="AA62" s="25">
        <v>-1.8390200000000002E-2</v>
      </c>
      <c r="AB62" s="25">
        <v>-1.6290840000000001E-2</v>
      </c>
      <c r="AC62" s="25">
        <v>-7.4689199999999997E-2</v>
      </c>
      <c r="AD62" s="260"/>
      <c r="AF62" s="6"/>
      <c r="AH62" s="6"/>
      <c r="AJ62" s="6"/>
      <c r="AL62" s="6"/>
      <c r="AN62" s="6"/>
      <c r="AP62" s="6"/>
      <c r="AR62" s="6"/>
      <c r="AT62" s="6"/>
      <c r="AV62" s="6"/>
      <c r="AX62" s="6"/>
      <c r="AZ62" s="6"/>
      <c r="BB62" s="6"/>
      <c r="BD62" s="6"/>
      <c r="BF62" s="6"/>
      <c r="BH62" s="6"/>
      <c r="BJ62" s="6"/>
      <c r="BL62" s="6"/>
      <c r="BN62" s="6"/>
      <c r="BP62" s="6"/>
      <c r="BR62" s="6"/>
      <c r="BT62" s="6"/>
      <c r="BV62" s="6"/>
      <c r="BX62" s="6"/>
      <c r="BZ62" s="6"/>
      <c r="CB62" s="6"/>
      <c r="CD62" s="6"/>
      <c r="CF62" s="6"/>
      <c r="CH62" s="6"/>
      <c r="CJ62" s="6"/>
      <c r="CL62" s="6"/>
      <c r="CN62" s="6"/>
      <c r="CP62" s="6"/>
      <c r="CR62" s="6"/>
      <c r="CT62" s="6"/>
      <c r="CV62" s="6"/>
      <c r="CX62" s="6"/>
      <c r="CZ62" s="6"/>
      <c r="DB62" s="6"/>
      <c r="DD62" s="6"/>
      <c r="DF62" s="6"/>
      <c r="DH62" s="6"/>
      <c r="DJ62" s="6"/>
      <c r="DL62" s="6"/>
      <c r="DN62" s="6"/>
      <c r="DP62" s="6"/>
      <c r="DR62" s="6"/>
      <c r="DT62" s="6"/>
      <c r="DV62" s="6"/>
      <c r="DX62" s="6"/>
      <c r="DZ62" s="6"/>
      <c r="EB62" s="6"/>
      <c r="ED62" s="6"/>
      <c r="EF62" s="6"/>
      <c r="EH62" s="6"/>
      <c r="EJ62" s="6"/>
      <c r="EL62" s="6"/>
      <c r="EN62" s="6"/>
      <c r="EP62" s="6"/>
      <c r="ER62" s="6"/>
      <c r="ET62" s="6"/>
      <c r="EV62" s="6"/>
      <c r="EX62" s="6"/>
      <c r="EZ62" s="6"/>
      <c r="FB62" s="6"/>
      <c r="FD62" s="6"/>
      <c r="FF62" s="6"/>
    </row>
    <row r="63" spans="5:162">
      <c r="E63" s="421">
        <v>42063</v>
      </c>
      <c r="F63" s="25">
        <v>0.20960706472396851</v>
      </c>
      <c r="G63" s="25">
        <v>7.8265644609928131E-2</v>
      </c>
      <c r="H63" s="25">
        <v>0.1024782806634903</v>
      </c>
      <c r="I63" s="25">
        <v>-1.5022198669612408E-2</v>
      </c>
      <c r="J63" s="25">
        <v>3.6323152482509613E-2</v>
      </c>
      <c r="K63" s="25">
        <v>8.4080547094345093E-2</v>
      </c>
      <c r="L63" s="25">
        <v>0.12790532410144806</v>
      </c>
      <c r="M63" s="25">
        <v>6.3705168664455414E-2</v>
      </c>
      <c r="N63" s="25">
        <v>3.0813952907919884E-2</v>
      </c>
      <c r="O63" s="25"/>
      <c r="P63" s="421">
        <v>42063</v>
      </c>
      <c r="Q63" s="25">
        <v>-2.3133395249925415E-2</v>
      </c>
      <c r="R63" s="25">
        <v>-4.1487092232883938E-2</v>
      </c>
      <c r="S63" s="6"/>
      <c r="T63" s="421">
        <v>42063</v>
      </c>
      <c r="U63" s="25">
        <v>5.7304859999999999E-2</v>
      </c>
      <c r="V63" s="287">
        <v>9.4390699999999994E-2</v>
      </c>
      <c r="W63" s="25">
        <v>4.861422E-2</v>
      </c>
      <c r="X63" s="25">
        <v>7.9232427357787349E-2</v>
      </c>
      <c r="Y63" s="25">
        <v>-9.7794000000000006E-2</v>
      </c>
      <c r="Z63" s="25">
        <v>-3.1434199999999995E-2</v>
      </c>
      <c r="AA63" s="25">
        <v>5.8359699999999994E-2</v>
      </c>
      <c r="AB63" s="25">
        <v>5.3074589999999998E-2</v>
      </c>
      <c r="AC63" s="25">
        <v>0.12131679999999999</v>
      </c>
      <c r="AD63" s="260"/>
      <c r="AF63" s="6"/>
      <c r="AH63" s="6"/>
      <c r="AJ63" s="6"/>
      <c r="AL63" s="6"/>
      <c r="AN63" s="6"/>
      <c r="AP63" s="6"/>
      <c r="AR63" s="6"/>
      <c r="AT63" s="6"/>
      <c r="AV63" s="6"/>
      <c r="AX63" s="6"/>
      <c r="AZ63" s="6"/>
      <c r="BB63" s="6"/>
      <c r="BD63" s="6"/>
      <c r="BF63" s="6"/>
      <c r="BH63" s="6"/>
      <c r="BJ63" s="6"/>
      <c r="BL63" s="6"/>
      <c r="BN63" s="6"/>
      <c r="BP63" s="6"/>
      <c r="BR63" s="6"/>
      <c r="BT63" s="6"/>
      <c r="BV63" s="6"/>
      <c r="BX63" s="6"/>
      <c r="BZ63" s="6"/>
      <c r="CB63" s="6"/>
      <c r="CD63" s="6"/>
      <c r="CF63" s="6"/>
      <c r="CH63" s="6"/>
      <c r="CJ63" s="6"/>
      <c r="CL63" s="6"/>
      <c r="CN63" s="6"/>
      <c r="CP63" s="6"/>
      <c r="CR63" s="6"/>
      <c r="CT63" s="6"/>
      <c r="CV63" s="6"/>
      <c r="CX63" s="6"/>
      <c r="CZ63" s="6"/>
      <c r="DB63" s="6"/>
      <c r="DD63" s="6"/>
      <c r="DF63" s="6"/>
      <c r="DH63" s="6"/>
      <c r="DJ63" s="6"/>
      <c r="DL63" s="6"/>
      <c r="DN63" s="6"/>
      <c r="DP63" s="6"/>
      <c r="DR63" s="6"/>
      <c r="DT63" s="6"/>
      <c r="DV63" s="6"/>
      <c r="DX63" s="6"/>
      <c r="DZ63" s="6"/>
      <c r="EB63" s="6"/>
      <c r="ED63" s="6"/>
      <c r="EF63" s="6"/>
      <c r="EH63" s="6"/>
      <c r="EJ63" s="6"/>
      <c r="EL63" s="6"/>
      <c r="EN63" s="6"/>
      <c r="EP63" s="6"/>
      <c r="ER63" s="6"/>
      <c r="ET63" s="6"/>
      <c r="EV63" s="6"/>
      <c r="EX63" s="6"/>
      <c r="EZ63" s="6"/>
      <c r="FB63" s="6"/>
      <c r="FD63" s="6"/>
      <c r="FF63" s="6"/>
    </row>
    <row r="64" spans="5:162">
      <c r="E64" s="421">
        <v>42094</v>
      </c>
      <c r="F64" s="25">
        <v>-3.4296125173568726E-2</v>
      </c>
      <c r="G64" s="25">
        <v>-7.1604475378990173E-3</v>
      </c>
      <c r="H64" s="25">
        <v>-6.3746899366378784E-2</v>
      </c>
      <c r="I64" s="25">
        <v>-5.5246051400899887E-2</v>
      </c>
      <c r="J64" s="25">
        <v>5.1668319851160049E-2</v>
      </c>
      <c r="K64" s="25">
        <v>-5.4827399551868439E-2</v>
      </c>
      <c r="L64" s="25">
        <v>-6.5233878791332245E-2</v>
      </c>
      <c r="M64" s="25">
        <v>-8.8921841233968735E-3</v>
      </c>
      <c r="N64" s="25">
        <v>-1.8632328137755394E-2</v>
      </c>
      <c r="O64" s="25"/>
      <c r="P64" s="421">
        <v>42094</v>
      </c>
      <c r="Q64" s="25">
        <v>8.3383166141464127E-3</v>
      </c>
      <c r="R64" s="25">
        <v>-1.2506814321563975E-2</v>
      </c>
      <c r="S64" s="6"/>
      <c r="T64" s="421">
        <v>42094</v>
      </c>
      <c r="U64" s="25">
        <v>-1.333237E-2</v>
      </c>
      <c r="V64" s="287">
        <v>8.4590599999999988E-2</v>
      </c>
      <c r="W64" s="25">
        <v>-9.3891400000000007E-3</v>
      </c>
      <c r="X64" s="25">
        <v>-5.4340867227203882E-3</v>
      </c>
      <c r="Y64" s="25">
        <v>2.7339199999999998E-2</v>
      </c>
      <c r="Z64" s="25">
        <v>-0.10141989999999999</v>
      </c>
      <c r="AA64" s="25">
        <v>-1.5921100000000001E-2</v>
      </c>
      <c r="AB64" s="25">
        <v>-1.070371E-2</v>
      </c>
      <c r="AC64" s="25">
        <v>-4.0657399999999996E-2</v>
      </c>
      <c r="AD64" s="260"/>
      <c r="AF64" s="6"/>
      <c r="AH64" s="6"/>
      <c r="AJ64" s="6"/>
      <c r="AL64" s="6"/>
      <c r="AN64" s="6"/>
      <c r="AP64" s="6"/>
      <c r="AR64" s="6"/>
      <c r="AT64" s="6"/>
      <c r="AV64" s="6"/>
      <c r="AX64" s="6"/>
      <c r="AZ64" s="6"/>
      <c r="BB64" s="6"/>
      <c r="BD64" s="6"/>
      <c r="BF64" s="6"/>
      <c r="BH64" s="6"/>
      <c r="BJ64" s="6"/>
      <c r="BL64" s="6"/>
      <c r="BN64" s="6"/>
      <c r="BP64" s="6"/>
      <c r="BR64" s="6"/>
      <c r="BT64" s="6"/>
      <c r="BV64" s="6"/>
      <c r="BX64" s="6"/>
      <c r="BZ64" s="6"/>
      <c r="CB64" s="6"/>
      <c r="CD64" s="6"/>
      <c r="CF64" s="6"/>
      <c r="CH64" s="6"/>
      <c r="CJ64" s="6"/>
      <c r="CL64" s="6"/>
      <c r="CN64" s="6"/>
      <c r="CP64" s="6"/>
      <c r="CR64" s="6"/>
      <c r="CT64" s="6"/>
      <c r="CV64" s="6"/>
      <c r="CX64" s="6"/>
      <c r="CZ64" s="6"/>
      <c r="DB64" s="6"/>
      <c r="DD64" s="6"/>
      <c r="DF64" s="6"/>
      <c r="DH64" s="6"/>
      <c r="DJ64" s="6"/>
      <c r="DL64" s="6"/>
      <c r="DN64" s="6"/>
      <c r="DP64" s="6"/>
      <c r="DR64" s="6"/>
      <c r="DT64" s="6"/>
      <c r="DV64" s="6"/>
      <c r="DX64" s="6"/>
      <c r="DZ64" s="6"/>
      <c r="EB64" s="6"/>
      <c r="ED64" s="6"/>
      <c r="EF64" s="6"/>
      <c r="EH64" s="6"/>
      <c r="EJ64" s="6"/>
      <c r="EL64" s="6"/>
      <c r="EN64" s="6"/>
      <c r="EP64" s="6"/>
      <c r="ER64" s="6"/>
      <c r="ET64" s="6"/>
      <c r="EV64" s="6"/>
      <c r="EX64" s="6"/>
      <c r="EZ64" s="6"/>
      <c r="FB64" s="6"/>
      <c r="FD64" s="6"/>
      <c r="FF64" s="6"/>
    </row>
    <row r="65" spans="5:162">
      <c r="E65" s="421">
        <v>42124</v>
      </c>
      <c r="F65" s="25">
        <v>0.2451714426279068</v>
      </c>
      <c r="G65" s="25">
        <v>9.9586963653564453E-2</v>
      </c>
      <c r="H65" s="25">
        <v>0.11438260227441788</v>
      </c>
      <c r="I65" s="25">
        <v>-8.0062888562679291E-2</v>
      </c>
      <c r="J65" s="25">
        <v>-8.5619848687201738E-4</v>
      </c>
      <c r="K65" s="25">
        <v>1.2940781190991402E-2</v>
      </c>
      <c r="L65" s="25">
        <v>2.8671896085143089E-2</v>
      </c>
      <c r="M65" s="25">
        <v>6.7227408289909363E-2</v>
      </c>
      <c r="N65" s="25">
        <v>-1.39164999127388E-2</v>
      </c>
      <c r="O65" s="25"/>
      <c r="P65" s="421">
        <v>42124</v>
      </c>
      <c r="Q65" s="25">
        <v>-5.4040727117650178E-3</v>
      </c>
      <c r="R65" s="25">
        <v>-1.7889161111947494E-2</v>
      </c>
      <c r="S65" s="6"/>
      <c r="T65" s="421">
        <v>42124</v>
      </c>
      <c r="U65" s="25">
        <v>3.6649569999999999E-2</v>
      </c>
      <c r="V65" s="287">
        <v>5.4501400000000005E-2</v>
      </c>
      <c r="W65" s="25">
        <v>2.3359359999999999E-2</v>
      </c>
      <c r="X65" s="25">
        <v>2.1034738335800718E-2</v>
      </c>
      <c r="Y65" s="25">
        <v>-0.1330585</v>
      </c>
      <c r="Z65" s="25">
        <v>9.7065499999999999E-2</v>
      </c>
      <c r="AA65" s="25">
        <v>2.3283900000000003E-2</v>
      </c>
      <c r="AB65" s="25">
        <v>1.8624780000000001E-2</v>
      </c>
      <c r="AC65" s="25">
        <v>6.3348000000000007E-3</v>
      </c>
      <c r="AD65" s="260"/>
      <c r="AF65" s="6"/>
      <c r="AH65" s="6"/>
      <c r="AJ65" s="6"/>
      <c r="AL65" s="6"/>
      <c r="AN65" s="6"/>
      <c r="AP65" s="6"/>
      <c r="AR65" s="6"/>
      <c r="AT65" s="6"/>
      <c r="AV65" s="6"/>
      <c r="AX65" s="6"/>
      <c r="AZ65" s="6"/>
      <c r="BB65" s="6"/>
      <c r="BD65" s="6"/>
      <c r="BF65" s="6"/>
      <c r="BH65" s="6"/>
      <c r="BJ65" s="6"/>
      <c r="BL65" s="6"/>
      <c r="BN65" s="6"/>
      <c r="BP65" s="6"/>
      <c r="BR65" s="6"/>
      <c r="BT65" s="6"/>
      <c r="BV65" s="6"/>
      <c r="BX65" s="6"/>
      <c r="BZ65" s="6"/>
      <c r="CB65" s="6"/>
      <c r="CD65" s="6"/>
      <c r="CF65" s="6"/>
      <c r="CH65" s="6"/>
      <c r="CJ65" s="6"/>
      <c r="CL65" s="6"/>
      <c r="CN65" s="6"/>
      <c r="CP65" s="6"/>
      <c r="CR65" s="6"/>
      <c r="CT65" s="6"/>
      <c r="CV65" s="6"/>
      <c r="CX65" s="6"/>
      <c r="CZ65" s="6"/>
      <c r="DB65" s="6"/>
      <c r="DD65" s="6"/>
      <c r="DF65" s="6"/>
      <c r="DH65" s="6"/>
      <c r="DJ65" s="6"/>
      <c r="DL65" s="6"/>
      <c r="DN65" s="6"/>
      <c r="DP65" s="6"/>
      <c r="DR65" s="6"/>
      <c r="DT65" s="6"/>
      <c r="DV65" s="6"/>
      <c r="DX65" s="6"/>
      <c r="DZ65" s="6"/>
      <c r="EB65" s="6"/>
      <c r="ED65" s="6"/>
      <c r="EF65" s="6"/>
      <c r="EH65" s="6"/>
      <c r="EJ65" s="6"/>
      <c r="EL65" s="6"/>
      <c r="EN65" s="6"/>
      <c r="EP65" s="6"/>
      <c r="ER65" s="6"/>
      <c r="ET65" s="6"/>
      <c r="EV65" s="6"/>
      <c r="EX65" s="6"/>
      <c r="EZ65" s="6"/>
      <c r="FB65" s="6"/>
      <c r="FD65" s="6"/>
      <c r="FF65" s="6"/>
    </row>
    <row r="66" spans="5:162">
      <c r="E66" s="421">
        <v>42155</v>
      </c>
      <c r="F66" s="25">
        <v>-0.11158375442028046</v>
      </c>
      <c r="G66" s="25">
        <v>0.11984679847955704</v>
      </c>
      <c r="H66" s="25">
        <v>-3.4306231886148453E-2</v>
      </c>
      <c r="I66" s="25">
        <v>-5.7548318058252335E-2</v>
      </c>
      <c r="J66" s="25">
        <v>-7.2779450565576553E-3</v>
      </c>
      <c r="K66" s="25">
        <v>-2.3368952795863152E-2</v>
      </c>
      <c r="L66" s="25">
        <v>3.983696922659874E-2</v>
      </c>
      <c r="M66" s="25">
        <v>-2.0027831196784973E-3</v>
      </c>
      <c r="N66" s="25">
        <v>1.6867984086275101E-2</v>
      </c>
      <c r="O66" s="25"/>
      <c r="P66" s="421">
        <v>42155</v>
      </c>
      <c r="Q66" s="25">
        <v>-1.116835610105793E-2</v>
      </c>
      <c r="R66" s="25">
        <v>-1.479127760589416E-2</v>
      </c>
      <c r="S66" s="6"/>
      <c r="T66" s="421">
        <v>42155</v>
      </c>
      <c r="U66" s="25">
        <v>5.0107800000000003E-3</v>
      </c>
      <c r="V66" s="287">
        <v>-4.15045E-2</v>
      </c>
      <c r="W66" s="25">
        <v>3.5586400000000001E-3</v>
      </c>
      <c r="X66" s="25">
        <v>1.8011476124330406E-2</v>
      </c>
      <c r="Y66" s="25">
        <v>0.10138350000000002</v>
      </c>
      <c r="Z66" s="25">
        <v>-2.05761E-2</v>
      </c>
      <c r="AA66" s="25">
        <v>3.3911000000000002E-3</v>
      </c>
      <c r="AB66" s="25">
        <v>-6.1946599999999994E-3</v>
      </c>
      <c r="AC66" s="25">
        <v>2.4027E-2</v>
      </c>
      <c r="AD66" s="260"/>
      <c r="AF66" s="6"/>
      <c r="AH66" s="6"/>
      <c r="AJ66" s="6"/>
      <c r="AL66" s="6"/>
      <c r="AN66" s="6"/>
      <c r="AP66" s="6"/>
      <c r="AR66" s="6"/>
      <c r="AT66" s="6"/>
      <c r="AV66" s="6"/>
      <c r="AX66" s="6"/>
      <c r="AZ66" s="6"/>
      <c r="BB66" s="6"/>
      <c r="BD66" s="6"/>
      <c r="BF66" s="6"/>
      <c r="BH66" s="6"/>
      <c r="BJ66" s="6"/>
      <c r="BL66" s="6"/>
      <c r="BN66" s="6"/>
      <c r="BP66" s="6"/>
      <c r="BR66" s="6"/>
      <c r="BT66" s="6"/>
      <c r="BV66" s="6"/>
      <c r="BX66" s="6"/>
      <c r="BZ66" s="6"/>
      <c r="CB66" s="6"/>
      <c r="CD66" s="6"/>
      <c r="CF66" s="6"/>
      <c r="CH66" s="6"/>
      <c r="CJ66" s="6"/>
      <c r="CL66" s="6"/>
      <c r="CN66" s="6"/>
      <c r="CP66" s="6"/>
      <c r="CR66" s="6"/>
      <c r="CT66" s="6"/>
      <c r="CV66" s="6"/>
      <c r="CX66" s="6"/>
      <c r="CZ66" s="6"/>
      <c r="DB66" s="6"/>
      <c r="DD66" s="6"/>
      <c r="DF66" s="6"/>
      <c r="DH66" s="6"/>
      <c r="DJ66" s="6"/>
      <c r="DL66" s="6"/>
      <c r="DN66" s="6"/>
      <c r="DP66" s="6"/>
      <c r="DR66" s="6"/>
      <c r="DT66" s="6"/>
      <c r="DV66" s="6"/>
      <c r="DX66" s="6"/>
      <c r="DZ66" s="6"/>
      <c r="EB66" s="6"/>
      <c r="ED66" s="6"/>
      <c r="EF66" s="6"/>
      <c r="EH66" s="6"/>
      <c r="EJ66" s="6"/>
      <c r="EL66" s="6"/>
      <c r="EN66" s="6"/>
      <c r="EP66" s="6"/>
      <c r="ER66" s="6"/>
      <c r="ET66" s="6"/>
      <c r="EV66" s="6"/>
      <c r="EX66" s="6"/>
      <c r="EZ66" s="6"/>
      <c r="FB66" s="6"/>
      <c r="FD66" s="6"/>
      <c r="FF66" s="6"/>
    </row>
    <row r="67" spans="5:162">
      <c r="E67" s="421">
        <v>42185</v>
      </c>
      <c r="F67" s="25">
        <v>-9.5747727900743484E-3</v>
      </c>
      <c r="G67" s="25">
        <v>-2.1172141656279564E-2</v>
      </c>
      <c r="H67" s="25">
        <v>-3.9330486208200455E-2</v>
      </c>
      <c r="I67" s="25">
        <v>-9.5982633531093597E-2</v>
      </c>
      <c r="J67" s="25">
        <v>-3.3123351633548737E-2</v>
      </c>
      <c r="K67" s="25">
        <v>-6.5038077533245087E-2</v>
      </c>
      <c r="L67" s="25">
        <v>2.4276141077280045E-2</v>
      </c>
      <c r="M67" s="25">
        <v>-4.1202481836080551E-2</v>
      </c>
      <c r="N67" s="25">
        <v>-2.6762532070279121E-2</v>
      </c>
      <c r="O67" s="25"/>
      <c r="P67" s="421">
        <v>42185</v>
      </c>
      <c r="Q67" s="25">
        <v>-1.7991923790939945E-2</v>
      </c>
      <c r="R67" s="25">
        <v>-2.9375984307660308E-2</v>
      </c>
      <c r="S67" s="6"/>
      <c r="T67" s="421">
        <v>42185</v>
      </c>
      <c r="U67" s="25">
        <v>-3.2105009999999996E-2</v>
      </c>
      <c r="V67" s="287">
        <v>-5.8520899999999994E-2</v>
      </c>
      <c r="W67" s="25">
        <v>-2.0234640000000002E-2</v>
      </c>
      <c r="X67" s="25">
        <v>-1.4779441824306239E-2</v>
      </c>
      <c r="Y67" s="25">
        <v>6.9676200000000008E-2</v>
      </c>
      <c r="Z67" s="25">
        <v>-4.6218500000000003E-2</v>
      </c>
      <c r="AA67" s="25">
        <v>-2.3428300000000003E-2</v>
      </c>
      <c r="AB67" s="25">
        <v>-2.5162529999999999E-2</v>
      </c>
      <c r="AC67" s="25">
        <v>-4.3116899999999993E-2</v>
      </c>
      <c r="AD67" s="260"/>
      <c r="AF67" s="6"/>
      <c r="AH67" s="6"/>
      <c r="AJ67" s="6"/>
      <c r="AL67" s="6"/>
      <c r="AN67" s="6"/>
      <c r="AP67" s="6"/>
      <c r="AR67" s="6"/>
      <c r="AT67" s="6"/>
      <c r="AV67" s="6"/>
      <c r="AX67" s="6"/>
      <c r="AZ67" s="6"/>
      <c r="BB67" s="6"/>
      <c r="BD67" s="6"/>
      <c r="BF67" s="6"/>
      <c r="BH67" s="6"/>
      <c r="BJ67" s="6"/>
      <c r="BL67" s="6"/>
      <c r="BN67" s="6"/>
      <c r="BP67" s="6"/>
      <c r="BR67" s="6"/>
      <c r="BT67" s="6"/>
      <c r="BV67" s="6"/>
      <c r="BX67" s="6"/>
      <c r="BZ67" s="6"/>
      <c r="CB67" s="6"/>
      <c r="CD67" s="6"/>
      <c r="CF67" s="6"/>
      <c r="CH67" s="6"/>
      <c r="CJ67" s="6"/>
      <c r="CL67" s="6"/>
      <c r="CN67" s="6"/>
      <c r="CP67" s="6"/>
      <c r="CR67" s="6"/>
      <c r="CT67" s="6"/>
      <c r="CV67" s="6"/>
      <c r="CX67" s="6"/>
      <c r="CZ67" s="6"/>
      <c r="DB67" s="6"/>
      <c r="DD67" s="6"/>
      <c r="DF67" s="6"/>
      <c r="DH67" s="6"/>
      <c r="DJ67" s="6"/>
      <c r="DL67" s="6"/>
      <c r="DN67" s="6"/>
      <c r="DP67" s="6"/>
      <c r="DR67" s="6"/>
      <c r="DT67" s="6"/>
      <c r="DV67" s="6"/>
      <c r="DX67" s="6"/>
      <c r="DZ67" s="6"/>
      <c r="EB67" s="6"/>
      <c r="ED67" s="6"/>
      <c r="EF67" s="6"/>
      <c r="EH67" s="6"/>
      <c r="EJ67" s="6"/>
      <c r="EL67" s="6"/>
      <c r="EN67" s="6"/>
      <c r="EP67" s="6"/>
      <c r="ER67" s="6"/>
      <c r="ET67" s="6"/>
      <c r="EV67" s="6"/>
      <c r="EX67" s="6"/>
      <c r="EZ67" s="6"/>
      <c r="FB67" s="6"/>
      <c r="FD67" s="6"/>
      <c r="FF67" s="6"/>
    </row>
    <row r="68" spans="5:162">
      <c r="E68" s="421">
        <v>42216</v>
      </c>
      <c r="F68" s="25">
        <v>-6.2837623059749603E-2</v>
      </c>
      <c r="G68" s="25">
        <v>0.10090068727731705</v>
      </c>
      <c r="H68" s="25">
        <v>-6.6088274121284485E-2</v>
      </c>
      <c r="I68" s="25">
        <v>-0.12190146744251251</v>
      </c>
      <c r="J68" s="25">
        <v>-6.3325567170977592E-3</v>
      </c>
      <c r="K68" s="25">
        <v>0.10001898556947708</v>
      </c>
      <c r="L68" s="25">
        <v>1.2097272090613842E-2</v>
      </c>
      <c r="M68" s="25">
        <v>-4.1190139017999172E-3</v>
      </c>
      <c r="N68" s="25">
        <v>2.8216704726219177E-2</v>
      </c>
      <c r="O68" s="25"/>
      <c r="P68" s="421">
        <v>42216</v>
      </c>
      <c r="Q68" s="25">
        <v>1.5575571708000169E-2</v>
      </c>
      <c r="R68" s="25">
        <v>4.1598655318487276E-2</v>
      </c>
      <c r="S68" s="6"/>
      <c r="T68" s="421">
        <v>42216</v>
      </c>
      <c r="U68" s="25">
        <v>1.4410009999999999E-2</v>
      </c>
      <c r="V68" s="287">
        <v>-5.3745799999999996E-2</v>
      </c>
      <c r="W68" s="25">
        <v>1.6464220000000002E-2</v>
      </c>
      <c r="X68" s="25">
        <v>2.4423962531823218E-2</v>
      </c>
      <c r="Y68" s="25">
        <v>0.17045870000000002</v>
      </c>
      <c r="Z68" s="25">
        <v>-0.12555070000000002</v>
      </c>
      <c r="AA68" s="25">
        <v>1.7640100000000002E-2</v>
      </c>
      <c r="AB68" s="25">
        <v>1.8709299999999998E-2</v>
      </c>
      <c r="AC68" s="25">
        <v>7.7171000000000002E-3</v>
      </c>
      <c r="AD68" s="260"/>
      <c r="AF68" s="6"/>
      <c r="AH68" s="6"/>
      <c r="AJ68" s="6"/>
      <c r="AL68" s="6"/>
      <c r="AN68" s="6"/>
      <c r="AP68" s="6"/>
      <c r="AR68" s="6"/>
      <c r="AT68" s="6"/>
      <c r="AV68" s="6"/>
      <c r="AX68" s="6"/>
      <c r="AZ68" s="6"/>
      <c r="BB68" s="6"/>
      <c r="BD68" s="6"/>
      <c r="BF68" s="6"/>
      <c r="BH68" s="6"/>
      <c r="BJ68" s="6"/>
      <c r="BL68" s="6"/>
      <c r="BN68" s="6"/>
      <c r="BP68" s="6"/>
      <c r="BR68" s="6"/>
      <c r="BT68" s="6"/>
      <c r="BV68" s="6"/>
      <c r="BX68" s="6"/>
      <c r="BZ68" s="6"/>
      <c r="CB68" s="6"/>
      <c r="CD68" s="6"/>
      <c r="CF68" s="6"/>
      <c r="CH68" s="6"/>
      <c r="CJ68" s="6"/>
      <c r="CL68" s="6"/>
      <c r="CN68" s="6"/>
      <c r="CP68" s="6"/>
      <c r="CR68" s="6"/>
      <c r="CT68" s="6"/>
      <c r="CV68" s="6"/>
      <c r="CX68" s="6"/>
      <c r="CZ68" s="6"/>
      <c r="DB68" s="6"/>
      <c r="DD68" s="6"/>
      <c r="DF68" s="6"/>
      <c r="DH68" s="6"/>
      <c r="DJ68" s="6"/>
      <c r="DL68" s="6"/>
      <c r="DN68" s="6"/>
      <c r="DP68" s="6"/>
      <c r="DR68" s="6"/>
      <c r="DT68" s="6"/>
      <c r="DV68" s="6"/>
      <c r="DX68" s="6"/>
      <c r="DZ68" s="6"/>
      <c r="EB68" s="6"/>
      <c r="ED68" s="6"/>
      <c r="EF68" s="6"/>
      <c r="EH68" s="6"/>
      <c r="EJ68" s="6"/>
      <c r="EL68" s="6"/>
      <c r="EN68" s="6"/>
      <c r="EP68" s="6"/>
      <c r="ER68" s="6"/>
      <c r="ET68" s="6"/>
      <c r="EV68" s="6"/>
      <c r="EX68" s="6"/>
      <c r="EZ68" s="6"/>
      <c r="FB68" s="6"/>
      <c r="FD68" s="6"/>
      <c r="FF68" s="6"/>
    </row>
    <row r="69" spans="5:162">
      <c r="E69" s="421">
        <v>42247</v>
      </c>
      <c r="F69" s="25">
        <v>-4.8847049474716187E-2</v>
      </c>
      <c r="G69" s="25">
        <v>-2.8210649266839027E-2</v>
      </c>
      <c r="H69" s="25">
        <v>-8.6177043616771698E-2</v>
      </c>
      <c r="I69" s="25">
        <v>-0.14526346325874329</v>
      </c>
      <c r="J69" s="25">
        <v>-0.10907085239887238</v>
      </c>
      <c r="K69" s="25">
        <v>-8.1784792244434357E-2</v>
      </c>
      <c r="L69" s="25">
        <v>-4.1712403297424316E-2</v>
      </c>
      <c r="M69" s="25">
        <v>-7.9450003802776337E-2</v>
      </c>
      <c r="N69" s="25">
        <v>-5.4808907210826874E-2</v>
      </c>
      <c r="O69" s="25"/>
      <c r="P69" s="421">
        <v>42247</v>
      </c>
      <c r="Q69" s="25">
        <v>-4.2494361259816094E-3</v>
      </c>
      <c r="R69" s="25">
        <v>6.3382942106515738E-3</v>
      </c>
      <c r="S69" s="6"/>
      <c r="T69" s="421">
        <v>42247</v>
      </c>
      <c r="U69" s="25">
        <v>-6.3361349999999997E-2</v>
      </c>
      <c r="V69" s="287">
        <v>-0.1010886</v>
      </c>
      <c r="W69" s="25">
        <v>-6.9730800000000009E-2</v>
      </c>
      <c r="X69" s="25">
        <v>-7.5382094758615681E-2</v>
      </c>
      <c r="Y69" s="25">
        <v>4.4207599999999993E-2</v>
      </c>
      <c r="Z69" s="25">
        <v>1.5113399999999999E-2</v>
      </c>
      <c r="AA69" s="25">
        <v>-6.6544400000000004E-2</v>
      </c>
      <c r="AB69" s="25">
        <v>-6.0915699999999996E-2</v>
      </c>
      <c r="AC69" s="25">
        <v>-0.12649489999999999</v>
      </c>
      <c r="AD69" s="260"/>
      <c r="AF69" s="6"/>
      <c r="AH69" s="6"/>
      <c r="AJ69" s="6"/>
      <c r="AL69" s="6"/>
      <c r="AN69" s="6"/>
      <c r="AP69" s="6"/>
      <c r="AR69" s="6"/>
      <c r="AT69" s="6"/>
      <c r="AV69" s="6"/>
      <c r="AX69" s="6"/>
      <c r="AZ69" s="6"/>
      <c r="BB69" s="6"/>
      <c r="BD69" s="6"/>
      <c r="BF69" s="6"/>
      <c r="BH69" s="6"/>
      <c r="BJ69" s="6"/>
      <c r="BL69" s="6"/>
      <c r="BN69" s="6"/>
      <c r="BP69" s="6"/>
      <c r="BR69" s="6"/>
      <c r="BT69" s="6"/>
      <c r="BV69" s="6"/>
      <c r="BX69" s="6"/>
      <c r="BZ69" s="6"/>
      <c r="CB69" s="6"/>
      <c r="CD69" s="6"/>
      <c r="CF69" s="6"/>
      <c r="CH69" s="6"/>
      <c r="CJ69" s="6"/>
      <c r="CL69" s="6"/>
      <c r="CN69" s="6"/>
      <c r="CP69" s="6"/>
      <c r="CR69" s="6"/>
      <c r="CT69" s="6"/>
      <c r="CV69" s="6"/>
      <c r="CX69" s="6"/>
      <c r="CZ69" s="6"/>
      <c r="DB69" s="6"/>
      <c r="DD69" s="6"/>
      <c r="DF69" s="6"/>
      <c r="DH69" s="6"/>
      <c r="DJ69" s="6"/>
      <c r="DL69" s="6"/>
      <c r="DN69" s="6"/>
      <c r="DP69" s="6"/>
      <c r="DR69" s="6"/>
      <c r="DT69" s="6"/>
      <c r="DV69" s="6"/>
      <c r="DX69" s="6"/>
      <c r="DZ69" s="6"/>
      <c r="EB69" s="6"/>
      <c r="ED69" s="6"/>
      <c r="EF69" s="6"/>
      <c r="EH69" s="6"/>
      <c r="EJ69" s="6"/>
      <c r="EL69" s="6"/>
      <c r="EN69" s="6"/>
      <c r="EP69" s="6"/>
      <c r="ER69" s="6"/>
      <c r="ET69" s="6"/>
      <c r="EV69" s="6"/>
      <c r="EX69" s="6"/>
      <c r="EZ69" s="6"/>
      <c r="FB69" s="6"/>
      <c r="FD69" s="6"/>
      <c r="FF69" s="6"/>
    </row>
    <row r="70" spans="5:162">
      <c r="E70" s="421">
        <v>42277</v>
      </c>
      <c r="F70" s="25">
        <v>-7.6873995363712311E-2</v>
      </c>
      <c r="G70" s="25">
        <v>-2.8273506090044975E-2</v>
      </c>
      <c r="H70" s="25">
        <v>-8.7501026690006256E-2</v>
      </c>
      <c r="I70" s="25">
        <v>-0.11098580807447433</v>
      </c>
      <c r="J70" s="25">
        <v>-5.3237895481288433E-3</v>
      </c>
      <c r="K70" s="25">
        <v>-8.5291028022766113E-2</v>
      </c>
      <c r="L70" s="25">
        <v>4.6455390751361847E-2</v>
      </c>
      <c r="M70" s="25">
        <v>-1.9744411110877991E-2</v>
      </c>
      <c r="N70" s="25">
        <v>-6.7035541869699955E-3</v>
      </c>
      <c r="O70" s="25"/>
      <c r="P70" s="421">
        <v>42277</v>
      </c>
      <c r="Q70" s="25">
        <v>1.4259349596269288E-2</v>
      </c>
      <c r="R70" s="25">
        <v>7.4477452843304537E-3</v>
      </c>
      <c r="S70" s="6"/>
      <c r="T70" s="421">
        <v>42277</v>
      </c>
      <c r="U70" s="25">
        <v>-6.7903199999999997E-2</v>
      </c>
      <c r="V70" s="287">
        <v>-4.5733499999999996E-2</v>
      </c>
      <c r="W70" s="25">
        <v>-2.9460160000000003E-2</v>
      </c>
      <c r="X70" s="25">
        <v>-3.2187140706246731E-2</v>
      </c>
      <c r="Y70" s="25">
        <v>0.13991889999999998</v>
      </c>
      <c r="Z70" s="25">
        <v>-2.97767E-2</v>
      </c>
      <c r="AA70" s="25">
        <v>-3.669E-2</v>
      </c>
      <c r="AB70" s="25">
        <v>-3.267631E-2</v>
      </c>
      <c r="AC70" s="25">
        <v>-3.2253799999999999E-2</v>
      </c>
      <c r="AD70" s="260"/>
      <c r="AF70" s="6"/>
      <c r="AH70" s="6"/>
      <c r="AJ70" s="6"/>
      <c r="AL70" s="6"/>
      <c r="AN70" s="6"/>
      <c r="AP70" s="6"/>
      <c r="AR70" s="6"/>
      <c r="AT70" s="6"/>
      <c r="AV70" s="6"/>
      <c r="AX70" s="6"/>
      <c r="AZ70" s="6"/>
      <c r="BB70" s="6"/>
      <c r="BD70" s="6"/>
      <c r="BF70" s="6"/>
      <c r="BH70" s="6"/>
      <c r="BJ70" s="6"/>
      <c r="BL70" s="6"/>
      <c r="BN70" s="6"/>
      <c r="BP70" s="6"/>
      <c r="BR70" s="6"/>
      <c r="BT70" s="6"/>
      <c r="BV70" s="6"/>
      <c r="BX70" s="6"/>
      <c r="BZ70" s="6"/>
      <c r="CB70" s="6"/>
      <c r="CD70" s="6"/>
      <c r="CF70" s="6"/>
      <c r="CH70" s="6"/>
      <c r="CJ70" s="6"/>
      <c r="CL70" s="6"/>
      <c r="CN70" s="6"/>
      <c r="CP70" s="6"/>
      <c r="CR70" s="6"/>
      <c r="CT70" s="6"/>
      <c r="CV70" s="6"/>
      <c r="CX70" s="6"/>
      <c r="CZ70" s="6"/>
      <c r="DB70" s="6"/>
      <c r="DD70" s="6"/>
      <c r="DF70" s="6"/>
      <c r="DH70" s="6"/>
      <c r="DJ70" s="6"/>
      <c r="DL70" s="6"/>
      <c r="DN70" s="6"/>
      <c r="DP70" s="6"/>
      <c r="DR70" s="6"/>
      <c r="DT70" s="6"/>
      <c r="DV70" s="6"/>
      <c r="DX70" s="6"/>
      <c r="DZ70" s="6"/>
      <c r="EB70" s="6"/>
      <c r="ED70" s="6"/>
      <c r="EF70" s="6"/>
      <c r="EH70" s="6"/>
      <c r="EJ70" s="6"/>
      <c r="EL70" s="6"/>
      <c r="EN70" s="6"/>
      <c r="EP70" s="6"/>
      <c r="ER70" s="6"/>
      <c r="ET70" s="6"/>
      <c r="EV70" s="6"/>
      <c r="EX70" s="6"/>
      <c r="EZ70" s="6"/>
      <c r="FB70" s="6"/>
      <c r="FD70" s="6"/>
      <c r="FF70" s="6"/>
    </row>
    <row r="71" spans="5:162">
      <c r="E71" s="421">
        <v>42308</v>
      </c>
      <c r="F71" s="25">
        <v>3.6973036825656891E-2</v>
      </c>
      <c r="G71" s="25">
        <v>0.12902894616127014</v>
      </c>
      <c r="H71" s="25">
        <v>0.17952367663383484</v>
      </c>
      <c r="I71" s="25">
        <v>0.29500323534011841</v>
      </c>
      <c r="J71" s="25">
        <v>6.3359722495079041E-2</v>
      </c>
      <c r="K71" s="25">
        <v>0.15631565451622009</v>
      </c>
      <c r="L71" s="25">
        <v>7.832644134759903E-2</v>
      </c>
      <c r="M71" s="25">
        <v>-3.3731117844581604E-2</v>
      </c>
      <c r="N71" s="25">
        <v>8.2271024584770203E-2</v>
      </c>
      <c r="O71" s="25"/>
      <c r="P71" s="421">
        <v>42308</v>
      </c>
      <c r="Q71" s="25">
        <v>-3.4407256803253849E-3</v>
      </c>
      <c r="R71" s="25">
        <v>-3.5114110508471463E-2</v>
      </c>
      <c r="S71" s="6"/>
      <c r="T71" s="421">
        <v>42308</v>
      </c>
      <c r="U71" s="25">
        <v>8.4995559999999998E-2</v>
      </c>
      <c r="V71" s="287">
        <v>8.5315999999999989E-2</v>
      </c>
      <c r="W71" s="25">
        <v>0.10318708000000001</v>
      </c>
      <c r="X71" s="25">
        <v>7.1919701706099959E-2</v>
      </c>
      <c r="Y71" s="25">
        <v>-0.2136178</v>
      </c>
      <c r="Z71" s="25">
        <v>5.6265999999999997E-2</v>
      </c>
      <c r="AA71" s="25">
        <v>7.9662899999999995E-2</v>
      </c>
      <c r="AB71" s="25">
        <v>7.0706680000000008E-2</v>
      </c>
      <c r="AC71" s="25">
        <v>0.17562239999999998</v>
      </c>
      <c r="AD71" s="260"/>
      <c r="AF71" s="6"/>
      <c r="AH71" s="6"/>
      <c r="AJ71" s="6"/>
      <c r="AL71" s="6"/>
      <c r="AN71" s="6"/>
      <c r="AP71" s="6"/>
      <c r="AR71" s="6"/>
      <c r="AT71" s="6"/>
      <c r="AV71" s="6"/>
      <c r="AX71" s="6"/>
      <c r="AZ71" s="6"/>
      <c r="BB71" s="6"/>
      <c r="BD71" s="6"/>
      <c r="BF71" s="6"/>
      <c r="BH71" s="6"/>
      <c r="BJ71" s="6"/>
      <c r="BL71" s="6"/>
      <c r="BN71" s="6"/>
      <c r="BP71" s="6"/>
      <c r="BR71" s="6"/>
      <c r="BT71" s="6"/>
      <c r="BV71" s="6"/>
      <c r="BX71" s="6"/>
      <c r="BZ71" s="6"/>
      <c r="CB71" s="6"/>
      <c r="CD71" s="6"/>
      <c r="CF71" s="6"/>
      <c r="CH71" s="6"/>
      <c r="CJ71" s="6"/>
      <c r="CL71" s="6"/>
      <c r="CN71" s="6"/>
      <c r="CP71" s="6"/>
      <c r="CR71" s="6"/>
      <c r="CT71" s="6"/>
      <c r="CV71" s="6"/>
      <c r="CX71" s="6"/>
      <c r="CZ71" s="6"/>
      <c r="DB71" s="6"/>
      <c r="DD71" s="6"/>
      <c r="DF71" s="6"/>
      <c r="DH71" s="6"/>
      <c r="DJ71" s="6"/>
      <c r="DL71" s="6"/>
      <c r="DN71" s="6"/>
      <c r="DP71" s="6"/>
      <c r="DR71" s="6"/>
      <c r="DT71" s="6"/>
      <c r="DV71" s="6"/>
      <c r="DX71" s="6"/>
      <c r="DZ71" s="6"/>
      <c r="EB71" s="6"/>
      <c r="ED71" s="6"/>
      <c r="EF71" s="6"/>
      <c r="EH71" s="6"/>
      <c r="EJ71" s="6"/>
      <c r="EL71" s="6"/>
      <c r="EN71" s="6"/>
      <c r="EP71" s="6"/>
      <c r="ER71" s="6"/>
      <c r="ET71" s="6"/>
      <c r="EV71" s="6"/>
      <c r="EX71" s="6"/>
      <c r="EZ71" s="6"/>
      <c r="FB71" s="6"/>
      <c r="FD71" s="6"/>
      <c r="FF71" s="6"/>
    </row>
    <row r="72" spans="5:162">
      <c r="E72" s="421">
        <v>42338</v>
      </c>
      <c r="F72" s="25">
        <v>-1.7327573150396347E-2</v>
      </c>
      <c r="G72" s="25">
        <v>9.6975214779376984E-2</v>
      </c>
      <c r="H72" s="25">
        <v>-1.1708301492035389E-2</v>
      </c>
      <c r="I72" s="25">
        <v>7.8521750867366791E-2</v>
      </c>
      <c r="J72" s="25">
        <v>3.5078383516520262E-3</v>
      </c>
      <c r="K72" s="25">
        <v>6.2420866452157497E-3</v>
      </c>
      <c r="L72" s="25">
        <v>3.1581323593854904E-2</v>
      </c>
      <c r="M72" s="25">
        <v>4.647363442927599E-3</v>
      </c>
      <c r="N72" s="25">
        <v>9.4123035669326782E-3</v>
      </c>
      <c r="O72" s="25"/>
      <c r="P72" s="421">
        <v>42338</v>
      </c>
      <c r="Q72" s="25">
        <v>5.7745917960971838E-3</v>
      </c>
      <c r="R72" s="25">
        <v>-5.7689373712721537E-4</v>
      </c>
      <c r="S72" s="6"/>
      <c r="T72" s="421">
        <v>42338</v>
      </c>
      <c r="U72" s="25">
        <v>-2.3593280000000001E-2</v>
      </c>
      <c r="V72" s="287">
        <v>-4.77121E-2</v>
      </c>
      <c r="W72" s="25">
        <v>3.4839199999999997E-3</v>
      </c>
      <c r="X72" s="25">
        <v>-1.7517079045125006E-2</v>
      </c>
      <c r="Y72" s="25">
        <v>-9.0437E-3</v>
      </c>
      <c r="Z72" s="25">
        <v>-7.5060500000000002E-2</v>
      </c>
      <c r="AA72" s="25">
        <v>-5.0939000000000002E-3</v>
      </c>
      <c r="AB72" s="25">
        <v>-4.9206400000000004E-3</v>
      </c>
      <c r="AC72" s="25">
        <v>1.0761400000000001E-2</v>
      </c>
      <c r="AD72" s="260"/>
      <c r="AF72" s="6"/>
      <c r="AH72" s="6"/>
      <c r="AJ72" s="6"/>
      <c r="AL72" s="6"/>
      <c r="AN72" s="6"/>
      <c r="AP72" s="6"/>
      <c r="AR72" s="6"/>
      <c r="AT72" s="6"/>
      <c r="AV72" s="6"/>
      <c r="AX72" s="6"/>
      <c r="AZ72" s="6"/>
      <c r="BB72" s="6"/>
      <c r="BD72" s="6"/>
      <c r="BF72" s="6"/>
      <c r="BH72" s="6"/>
      <c r="BJ72" s="6"/>
      <c r="BL72" s="6"/>
      <c r="BN72" s="6"/>
      <c r="BP72" s="6"/>
      <c r="BR72" s="6"/>
      <c r="BT72" s="6"/>
      <c r="BV72" s="6"/>
      <c r="BX72" s="6"/>
      <c r="BZ72" s="6"/>
      <c r="CB72" s="6"/>
      <c r="CD72" s="6"/>
      <c r="CF72" s="6"/>
      <c r="CH72" s="6"/>
      <c r="CJ72" s="6"/>
      <c r="CL72" s="6"/>
      <c r="CN72" s="6"/>
      <c r="CP72" s="6"/>
      <c r="CR72" s="6"/>
      <c r="CT72" s="6"/>
      <c r="CV72" s="6"/>
      <c r="CX72" s="6"/>
      <c r="CZ72" s="6"/>
      <c r="DB72" s="6"/>
      <c r="DD72" s="6"/>
      <c r="DF72" s="6"/>
      <c r="DH72" s="6"/>
      <c r="DJ72" s="6"/>
      <c r="DL72" s="6"/>
      <c r="DN72" s="6"/>
      <c r="DP72" s="6"/>
      <c r="DR72" s="6"/>
      <c r="DT72" s="6"/>
      <c r="DV72" s="6"/>
      <c r="DX72" s="6"/>
      <c r="DZ72" s="6"/>
      <c r="EB72" s="6"/>
      <c r="ED72" s="6"/>
      <c r="EF72" s="6"/>
      <c r="EH72" s="6"/>
      <c r="EJ72" s="6"/>
      <c r="EL72" s="6"/>
      <c r="EN72" s="6"/>
      <c r="EP72" s="6"/>
      <c r="ER72" s="6"/>
      <c r="ET72" s="6"/>
      <c r="EV72" s="6"/>
      <c r="EX72" s="6"/>
      <c r="EZ72" s="6"/>
      <c r="FB72" s="6"/>
      <c r="FD72" s="6"/>
      <c r="FF72" s="6"/>
    </row>
    <row r="73" spans="5:162">
      <c r="E73" s="421">
        <v>42369</v>
      </c>
      <c r="F73" s="25">
        <v>-0.10827228426933289</v>
      </c>
      <c r="G73" s="25">
        <v>9.6325412392616272E-2</v>
      </c>
      <c r="H73" s="25">
        <v>-0.10038015991449356</v>
      </c>
      <c r="I73" s="25">
        <v>-6.9167174398899078E-2</v>
      </c>
      <c r="J73" s="25">
        <v>2.0963356364518404E-3</v>
      </c>
      <c r="K73" s="25">
        <v>-6.3755832612514496E-2</v>
      </c>
      <c r="L73" s="25">
        <v>2.7015678584575653E-2</v>
      </c>
      <c r="M73" s="25">
        <v>-1.3010632246732712E-2</v>
      </c>
      <c r="N73" s="25">
        <v>1.4518728479743004E-2</v>
      </c>
      <c r="O73" s="25"/>
      <c r="P73" s="421">
        <v>42369</v>
      </c>
      <c r="Q73" s="25">
        <v>-2.2959038149854671E-2</v>
      </c>
      <c r="R73" s="25">
        <v>6.1062001784155662E-3</v>
      </c>
      <c r="S73" s="6"/>
      <c r="T73" s="421">
        <v>42369</v>
      </c>
      <c r="U73" s="25">
        <v>-1.9876400000000002E-2</v>
      </c>
      <c r="V73" s="287">
        <v>5.34525E-2</v>
      </c>
      <c r="W73" s="25">
        <v>-1.734658E-2</v>
      </c>
      <c r="X73" s="25">
        <v>-5.140646239746971E-3</v>
      </c>
      <c r="Y73" s="25">
        <v>0.21429780000000001</v>
      </c>
      <c r="Z73" s="25">
        <v>4.8972800000000004E-2</v>
      </c>
      <c r="AA73" s="25">
        <v>-1.78706E-2</v>
      </c>
      <c r="AB73" s="25">
        <v>-7.0239700000000009E-3</v>
      </c>
      <c r="AC73" s="25">
        <v>-3.5947300000000001E-2</v>
      </c>
      <c r="AD73" s="260"/>
      <c r="AF73" s="6"/>
      <c r="AH73" s="6"/>
      <c r="AJ73" s="6"/>
      <c r="AL73" s="6"/>
      <c r="AN73" s="6"/>
      <c r="AP73" s="6"/>
      <c r="AR73" s="6"/>
      <c r="AT73" s="6"/>
      <c r="AV73" s="6"/>
      <c r="AX73" s="6"/>
      <c r="AZ73" s="6"/>
      <c r="BB73" s="6"/>
      <c r="BD73" s="6"/>
      <c r="BF73" s="6"/>
      <c r="BH73" s="6"/>
      <c r="BJ73" s="6"/>
      <c r="BL73" s="6"/>
      <c r="BN73" s="6"/>
      <c r="BP73" s="6"/>
      <c r="BR73" s="6"/>
      <c r="BT73" s="6"/>
      <c r="BV73" s="6"/>
      <c r="BX73" s="6"/>
      <c r="BZ73" s="6"/>
      <c r="CB73" s="6"/>
      <c r="CD73" s="6"/>
      <c r="CF73" s="6"/>
      <c r="CH73" s="6"/>
      <c r="CJ73" s="6"/>
      <c r="CL73" s="6"/>
      <c r="CN73" s="6"/>
      <c r="CP73" s="6"/>
      <c r="CR73" s="6"/>
      <c r="CT73" s="6"/>
      <c r="CV73" s="6"/>
      <c r="CX73" s="6"/>
      <c r="CZ73" s="6"/>
      <c r="DB73" s="6"/>
      <c r="DD73" s="6"/>
      <c r="DF73" s="6"/>
      <c r="DH73" s="6"/>
      <c r="DJ73" s="6"/>
      <c r="DL73" s="6"/>
      <c r="DN73" s="6"/>
      <c r="DP73" s="6"/>
      <c r="DR73" s="6"/>
      <c r="DT73" s="6"/>
      <c r="DV73" s="6"/>
      <c r="DX73" s="6"/>
      <c r="DZ73" s="6"/>
      <c r="EB73" s="6"/>
      <c r="ED73" s="6"/>
      <c r="EF73" s="6"/>
      <c r="EH73" s="6"/>
      <c r="EJ73" s="6"/>
      <c r="EL73" s="6"/>
      <c r="EN73" s="6"/>
      <c r="EP73" s="6"/>
      <c r="ER73" s="6"/>
      <c r="ET73" s="6"/>
      <c r="EV73" s="6"/>
      <c r="EX73" s="6"/>
      <c r="EZ73" s="6"/>
      <c r="FB73" s="6"/>
      <c r="FD73" s="6"/>
      <c r="FF73" s="6"/>
    </row>
    <row r="74" spans="5:162">
      <c r="E74" s="421">
        <v>42400</v>
      </c>
      <c r="F74" s="25">
        <v>-2.5195050984621048E-2</v>
      </c>
      <c r="G74" s="25">
        <v>-7.7935241162776947E-2</v>
      </c>
      <c r="H74" s="25">
        <v>2.2392395883798599E-2</v>
      </c>
      <c r="I74" s="25">
        <v>-0.1609572172164917</v>
      </c>
      <c r="J74" s="25">
        <v>-4.467565193772316E-2</v>
      </c>
      <c r="K74" s="25">
        <v>3.5524684935808182E-2</v>
      </c>
      <c r="L74" s="25">
        <v>-5.1302898675203323E-2</v>
      </c>
      <c r="M74" s="25">
        <v>-9.3327723443508148E-2</v>
      </c>
      <c r="N74" s="25">
        <v>1.6644548624753952E-2</v>
      </c>
      <c r="O74" s="25"/>
      <c r="P74" s="421">
        <v>42400</v>
      </c>
      <c r="Q74" s="25">
        <v>2.926155780016293E-2</v>
      </c>
      <c r="R74" s="25">
        <v>2.7846924889641356E-2</v>
      </c>
      <c r="S74" s="6"/>
      <c r="T74" s="421">
        <v>42400</v>
      </c>
      <c r="U74" s="25">
        <v>-8.8814939999999995E-2</v>
      </c>
      <c r="V74" s="287">
        <v>-0.1187628</v>
      </c>
      <c r="W74" s="25">
        <v>-4.8499830000000001E-2</v>
      </c>
      <c r="X74" s="25">
        <v>-7.3738099917617261E-2</v>
      </c>
      <c r="Y74" s="25">
        <v>2.56089E-2</v>
      </c>
      <c r="Z74" s="25">
        <v>1.37363E-2</v>
      </c>
      <c r="AA74" s="25">
        <v>-5.9715400000000002E-2</v>
      </c>
      <c r="AB74" s="25">
        <v>-6.1145940000000003E-2</v>
      </c>
      <c r="AC74" s="25">
        <v>-0.1107944</v>
      </c>
      <c r="AD74" s="260"/>
      <c r="AF74" s="6"/>
      <c r="AH74" s="6"/>
      <c r="AJ74" s="6"/>
      <c r="AL74" s="6"/>
      <c r="AN74" s="6"/>
      <c r="AP74" s="6"/>
      <c r="AR74" s="6"/>
      <c r="AT74" s="6"/>
      <c r="AV74" s="6"/>
      <c r="AX74" s="6"/>
      <c r="AZ74" s="6"/>
      <c r="BB74" s="6"/>
      <c r="BD74" s="6"/>
      <c r="BF74" s="6"/>
      <c r="BH74" s="6"/>
      <c r="BJ74" s="6"/>
      <c r="BL74" s="6"/>
      <c r="BN74" s="6"/>
      <c r="BP74" s="6"/>
      <c r="BR74" s="6"/>
      <c r="BT74" s="6"/>
      <c r="BV74" s="6"/>
      <c r="BX74" s="6"/>
      <c r="BZ74" s="6"/>
      <c r="CB74" s="6"/>
      <c r="CD74" s="6"/>
      <c r="CF74" s="6"/>
      <c r="CH74" s="6"/>
      <c r="CJ74" s="6"/>
      <c r="CL74" s="6"/>
      <c r="CN74" s="6"/>
      <c r="CP74" s="6"/>
      <c r="CR74" s="6"/>
      <c r="CT74" s="6"/>
      <c r="CV74" s="6"/>
      <c r="CX74" s="6"/>
      <c r="CZ74" s="6"/>
      <c r="DB74" s="6"/>
      <c r="DD74" s="6"/>
      <c r="DF74" s="6"/>
      <c r="DH74" s="6"/>
      <c r="DJ74" s="6"/>
      <c r="DL74" s="6"/>
      <c r="DN74" s="6"/>
      <c r="DP74" s="6"/>
      <c r="DR74" s="6"/>
      <c r="DT74" s="6"/>
      <c r="DV74" s="6"/>
      <c r="DX74" s="6"/>
      <c r="DZ74" s="6"/>
      <c r="EB74" s="6"/>
      <c r="ED74" s="6"/>
      <c r="EF74" s="6"/>
      <c r="EH74" s="6"/>
      <c r="EJ74" s="6"/>
      <c r="EL74" s="6"/>
      <c r="EN74" s="6"/>
      <c r="EP74" s="6"/>
      <c r="ER74" s="6"/>
      <c r="ET74" s="6"/>
      <c r="EV74" s="6"/>
      <c r="EX74" s="6"/>
      <c r="EZ74" s="6"/>
      <c r="FB74" s="6"/>
      <c r="FD74" s="6"/>
      <c r="FF74" s="6"/>
    </row>
    <row r="75" spans="5:162">
      <c r="E75" s="421">
        <v>42429</v>
      </c>
      <c r="F75" s="25">
        <v>3.6851514130830765E-2</v>
      </c>
      <c r="G75" s="25">
        <v>4.2137078940868378E-2</v>
      </c>
      <c r="H75" s="25">
        <v>-6.1399050056934357E-2</v>
      </c>
      <c r="I75" s="25">
        <v>-0.1177358403801918</v>
      </c>
      <c r="J75" s="25">
        <v>-0.12174665927886963</v>
      </c>
      <c r="K75" s="25">
        <v>-3.9492718875408173E-2</v>
      </c>
      <c r="L75" s="25">
        <v>-4.4853877276182175E-2</v>
      </c>
      <c r="M75" s="25">
        <v>6.0553766787052155E-2</v>
      </c>
      <c r="N75" s="25">
        <v>1.4426202513277531E-2</v>
      </c>
      <c r="O75" s="25"/>
      <c r="P75" s="421">
        <v>42429</v>
      </c>
      <c r="Q75" s="25">
        <v>9.806898530800412E-3</v>
      </c>
      <c r="R75" s="25">
        <v>2.1958150348746486E-3</v>
      </c>
      <c r="S75" s="6"/>
      <c r="T75" s="421">
        <v>42429</v>
      </c>
      <c r="U75" s="25">
        <v>1.3006660000000001E-2</v>
      </c>
      <c r="V75" s="287">
        <v>-2.3418000000000001E-2</v>
      </c>
      <c r="W75" s="25">
        <v>9.0571899999999997E-3</v>
      </c>
      <c r="X75" s="25">
        <v>-8.4083139070219026E-3</v>
      </c>
      <c r="Y75" s="25">
        <v>2.1034099999999997E-2</v>
      </c>
      <c r="Z75" s="25">
        <v>0.25474250000000004</v>
      </c>
      <c r="AA75" s="25">
        <v>-7.2236000000000002E-3</v>
      </c>
      <c r="AB75" s="25">
        <v>-7.6920200000000008E-3</v>
      </c>
      <c r="AC75" s="25">
        <v>1.1752100000000001E-2</v>
      </c>
      <c r="AD75" s="260"/>
      <c r="AF75" s="6"/>
      <c r="AH75" s="6"/>
      <c r="AJ75" s="6"/>
      <c r="AL75" s="6"/>
      <c r="AN75" s="6"/>
      <c r="AP75" s="6"/>
      <c r="AR75" s="6"/>
      <c r="AT75" s="6"/>
      <c r="AV75" s="6"/>
      <c r="AX75" s="6"/>
      <c r="AZ75" s="6"/>
      <c r="BB75" s="6"/>
      <c r="BD75" s="6"/>
      <c r="BF75" s="6"/>
      <c r="BH75" s="6"/>
      <c r="BJ75" s="6"/>
      <c r="BL75" s="6"/>
      <c r="BN75" s="6"/>
      <c r="BP75" s="6"/>
      <c r="BR75" s="6"/>
      <c r="BT75" s="6"/>
      <c r="BV75" s="6"/>
      <c r="BX75" s="6"/>
      <c r="BZ75" s="6"/>
      <c r="CB75" s="6"/>
      <c r="CD75" s="6"/>
      <c r="CF75" s="6"/>
      <c r="CH75" s="6"/>
      <c r="CJ75" s="6"/>
      <c r="CL75" s="6"/>
      <c r="CN75" s="6"/>
      <c r="CP75" s="6"/>
      <c r="CR75" s="6"/>
      <c r="CT75" s="6"/>
      <c r="CV75" s="6"/>
      <c r="CX75" s="6"/>
      <c r="CZ75" s="6"/>
      <c r="DB75" s="6"/>
      <c r="DD75" s="6"/>
      <c r="DF75" s="6"/>
      <c r="DH75" s="6"/>
      <c r="DJ75" s="6"/>
      <c r="DL75" s="6"/>
      <c r="DN75" s="6"/>
      <c r="DP75" s="6"/>
      <c r="DR75" s="6"/>
      <c r="DT75" s="6"/>
      <c r="DV75" s="6"/>
      <c r="DX75" s="6"/>
      <c r="DZ75" s="6"/>
      <c r="EB75" s="6"/>
      <c r="ED75" s="6"/>
      <c r="EF75" s="6"/>
      <c r="EH75" s="6"/>
      <c r="EJ75" s="6"/>
      <c r="EL75" s="6"/>
      <c r="EN75" s="6"/>
      <c r="EP75" s="6"/>
      <c r="ER75" s="6"/>
      <c r="ET75" s="6"/>
      <c r="EV75" s="6"/>
      <c r="EX75" s="6"/>
      <c r="EZ75" s="6"/>
      <c r="FB75" s="6"/>
      <c r="FD75" s="6"/>
      <c r="FF75" s="6"/>
    </row>
    <row r="76" spans="5:162">
      <c r="E76" s="421">
        <v>42460</v>
      </c>
      <c r="F76" s="25">
        <v>0.17279738187789917</v>
      </c>
      <c r="G76" s="25">
        <v>5.9117045253515244E-2</v>
      </c>
      <c r="H76" s="25">
        <v>2.7346890419721603E-2</v>
      </c>
      <c r="I76" s="25">
        <v>0.33265897631645203</v>
      </c>
      <c r="J76" s="25">
        <v>3.1554039567708969E-2</v>
      </c>
      <c r="K76" s="25">
        <v>0.1201765388250351</v>
      </c>
      <c r="L76" s="25">
        <v>0.10138543695211411</v>
      </c>
      <c r="M76" s="25">
        <v>0.15564216673374176</v>
      </c>
      <c r="N76" s="25">
        <v>2.8219351544976234E-2</v>
      </c>
      <c r="O76" s="25"/>
      <c r="P76" s="421">
        <v>42460</v>
      </c>
      <c r="Q76" s="25">
        <v>1.1532386510082482E-3</v>
      </c>
      <c r="R76" s="25">
        <v>6.4717470955386602E-3</v>
      </c>
      <c r="S76" s="6"/>
      <c r="T76" s="421">
        <v>42460</v>
      </c>
      <c r="U76" s="25">
        <v>7.6968120000000001E-2</v>
      </c>
      <c r="V76" s="287">
        <v>0.1002449</v>
      </c>
      <c r="W76" s="25">
        <v>5.8554500000000002E-2</v>
      </c>
      <c r="X76" s="25">
        <v>5.2096315396550352E-2</v>
      </c>
      <c r="Y76" s="25">
        <v>-0.18487510000000001</v>
      </c>
      <c r="Z76" s="25">
        <v>9.9352099999999999E-2</v>
      </c>
      <c r="AA76" s="25">
        <v>6.74014E-2</v>
      </c>
      <c r="AB76" s="25">
        <v>7.5480749999999999E-2</v>
      </c>
      <c r="AC76" s="25">
        <v>0.1462513</v>
      </c>
      <c r="AD76" s="260"/>
      <c r="AF76" s="6"/>
      <c r="AH76" s="6"/>
      <c r="AJ76" s="6"/>
      <c r="AL76" s="6"/>
      <c r="AN76" s="6"/>
      <c r="AP76" s="6"/>
      <c r="AR76" s="6"/>
      <c r="AT76" s="6"/>
      <c r="AV76" s="6"/>
      <c r="AX76" s="6"/>
      <c r="AZ76" s="6"/>
      <c r="BB76" s="6"/>
      <c r="BD76" s="6"/>
      <c r="BF76" s="6"/>
      <c r="BH76" s="6"/>
      <c r="BJ76" s="6"/>
      <c r="BL76" s="6"/>
      <c r="BN76" s="6"/>
      <c r="BP76" s="6"/>
      <c r="BR76" s="6"/>
      <c r="BT76" s="6"/>
      <c r="BV76" s="6"/>
      <c r="BX76" s="6"/>
      <c r="BZ76" s="6"/>
      <c r="CB76" s="6"/>
      <c r="CD76" s="6"/>
      <c r="CF76" s="6"/>
      <c r="CH76" s="6"/>
      <c r="CJ76" s="6"/>
      <c r="CL76" s="6"/>
      <c r="CN76" s="6"/>
      <c r="CP76" s="6"/>
      <c r="CR76" s="6"/>
      <c r="CT76" s="6"/>
      <c r="CV76" s="6"/>
      <c r="CX76" s="6"/>
      <c r="CZ76" s="6"/>
      <c r="DB76" s="6"/>
      <c r="DD76" s="6"/>
      <c r="DF76" s="6"/>
      <c r="DH76" s="6"/>
      <c r="DJ76" s="6"/>
      <c r="DL76" s="6"/>
      <c r="DN76" s="6"/>
      <c r="DP76" s="6"/>
      <c r="DR76" s="6"/>
      <c r="DT76" s="6"/>
      <c r="DV76" s="6"/>
      <c r="DX76" s="6"/>
      <c r="DZ76" s="6"/>
      <c r="EB76" s="6"/>
      <c r="ED76" s="6"/>
      <c r="EF76" s="6"/>
      <c r="EH76" s="6"/>
      <c r="EJ76" s="6"/>
      <c r="EL76" s="6"/>
      <c r="EN76" s="6"/>
      <c r="EP76" s="6"/>
      <c r="ER76" s="6"/>
      <c r="ET76" s="6"/>
      <c r="EV76" s="6"/>
      <c r="EX76" s="6"/>
      <c r="EZ76" s="6"/>
      <c r="FB76" s="6"/>
      <c r="FD76" s="6"/>
      <c r="FF76" s="6"/>
    </row>
    <row r="77" spans="5:162">
      <c r="E77" s="421">
        <v>42490</v>
      </c>
      <c r="F77" s="25">
        <v>0.17848280072212219</v>
      </c>
      <c r="G77" s="25">
        <v>1.2534742243587971E-2</v>
      </c>
      <c r="H77" s="25">
        <v>8.7798930704593658E-2</v>
      </c>
      <c r="I77" s="25">
        <v>5.4447613656520844E-2</v>
      </c>
      <c r="J77" s="25">
        <v>-2.2234125062823296E-3</v>
      </c>
      <c r="K77" s="25">
        <v>-3.6566995084285736E-2</v>
      </c>
      <c r="L77" s="25">
        <v>4.3776119127869606E-3</v>
      </c>
      <c r="M77" s="25">
        <v>-3.6481641232967377E-2</v>
      </c>
      <c r="N77" s="25">
        <v>3.5759516060352325E-2</v>
      </c>
      <c r="O77" s="25"/>
      <c r="P77" s="421">
        <v>42490</v>
      </c>
      <c r="Q77" s="25">
        <v>-8.8324119151746983E-3</v>
      </c>
      <c r="R77" s="25">
        <v>1.7932113163021901E-2</v>
      </c>
      <c r="S77" s="6"/>
      <c r="T77" s="421">
        <v>42490</v>
      </c>
      <c r="U77" s="25">
        <v>4.4218219999999996E-2</v>
      </c>
      <c r="V77" s="287">
        <v>-5.5832E-3</v>
      </c>
      <c r="W77" s="25">
        <v>4.34016E-3</v>
      </c>
      <c r="X77" s="25">
        <v>3.3118130889950859E-3</v>
      </c>
      <c r="Y77" s="25">
        <v>-0.1705527</v>
      </c>
      <c r="Z77" s="25">
        <v>0.31630649999999999</v>
      </c>
      <c r="AA77" s="25">
        <v>1.64318E-2</v>
      </c>
      <c r="AB77" s="25">
        <v>4.8280299999999996E-3</v>
      </c>
      <c r="AC77" s="25">
        <v>9.327499999999999E-3</v>
      </c>
      <c r="AD77" s="260"/>
      <c r="AF77" s="6"/>
      <c r="AH77" s="6"/>
      <c r="AJ77" s="6"/>
      <c r="AL77" s="6"/>
      <c r="AN77" s="6"/>
      <c r="AP77" s="6"/>
      <c r="AR77" s="6"/>
      <c r="AT77" s="6"/>
      <c r="AV77" s="6"/>
      <c r="AX77" s="6"/>
      <c r="AZ77" s="6"/>
      <c r="BB77" s="6"/>
      <c r="BD77" s="6"/>
      <c r="BF77" s="6"/>
      <c r="BH77" s="6"/>
      <c r="BJ77" s="6"/>
      <c r="BL77" s="6"/>
      <c r="BN77" s="6"/>
      <c r="BP77" s="6"/>
      <c r="BR77" s="6"/>
      <c r="BT77" s="6"/>
      <c r="BV77" s="6"/>
      <c r="BX77" s="6"/>
      <c r="BZ77" s="6"/>
      <c r="CB77" s="6"/>
      <c r="CD77" s="6"/>
      <c r="CF77" s="6"/>
      <c r="CH77" s="6"/>
      <c r="CJ77" s="6"/>
      <c r="CL77" s="6"/>
      <c r="CN77" s="6"/>
      <c r="CP77" s="6"/>
      <c r="CR77" s="6"/>
      <c r="CT77" s="6"/>
      <c r="CV77" s="6"/>
      <c r="CX77" s="6"/>
      <c r="CZ77" s="6"/>
      <c r="DB77" s="6"/>
      <c r="DD77" s="6"/>
      <c r="DF77" s="6"/>
      <c r="DH77" s="6"/>
      <c r="DJ77" s="6"/>
      <c r="DL77" s="6"/>
      <c r="DN77" s="6"/>
      <c r="DP77" s="6"/>
      <c r="DR77" s="6"/>
      <c r="DT77" s="6"/>
      <c r="DV77" s="6"/>
      <c r="DX77" s="6"/>
      <c r="DZ77" s="6"/>
      <c r="EB77" s="6"/>
      <c r="ED77" s="6"/>
      <c r="EF77" s="6"/>
      <c r="EH77" s="6"/>
      <c r="EJ77" s="6"/>
      <c r="EL77" s="6"/>
      <c r="EN77" s="6"/>
      <c r="EP77" s="6"/>
      <c r="ER77" s="6"/>
      <c r="ET77" s="6"/>
      <c r="EV77" s="6"/>
      <c r="EX77" s="6"/>
      <c r="EZ77" s="6"/>
      <c r="FB77" s="6"/>
      <c r="FD77" s="6"/>
      <c r="FF77" s="6"/>
    </row>
    <row r="78" spans="5:162">
      <c r="E78" s="421">
        <v>42521</v>
      </c>
      <c r="F78" s="25">
        <v>-0.15461574494838715</v>
      </c>
      <c r="G78" s="25">
        <v>1.7255819402635098E-3</v>
      </c>
      <c r="H78" s="25">
        <v>-3.2051544636487961E-2</v>
      </c>
      <c r="I78" s="25">
        <v>0.1095508337020874</v>
      </c>
      <c r="J78" s="25">
        <v>-1.3342160731554031E-2</v>
      </c>
      <c r="K78" s="25">
        <v>1.5564866364002228E-2</v>
      </c>
      <c r="L78" s="25">
        <v>5.5620651692152023E-2</v>
      </c>
      <c r="M78" s="25">
        <v>6.3359692692756653E-2</v>
      </c>
      <c r="N78" s="25">
        <v>1.2483468279242516E-2</v>
      </c>
      <c r="O78" s="25"/>
      <c r="P78" s="421">
        <v>42521</v>
      </c>
      <c r="Q78" s="25">
        <v>-6.4202677997595714E-3</v>
      </c>
      <c r="R78" s="25">
        <v>1.541475161627992E-2</v>
      </c>
      <c r="S78" s="6"/>
      <c r="T78" s="421">
        <v>42521</v>
      </c>
      <c r="U78" s="25">
        <v>-1.545993E-2</v>
      </c>
      <c r="V78" s="287">
        <v>-5.6175300000000004E-2</v>
      </c>
      <c r="W78" s="25">
        <v>2.0021110000000002E-2</v>
      </c>
      <c r="X78" s="25">
        <v>8.3830790127110699E-3</v>
      </c>
      <c r="Y78" s="25">
        <v>1.5726400000000001E-2</v>
      </c>
      <c r="Z78" s="25">
        <v>-1.04478E-2</v>
      </c>
      <c r="AA78" s="25">
        <v>5.5245999999999993E-3</v>
      </c>
      <c r="AB78" s="25">
        <v>5.2084399999999999E-3</v>
      </c>
      <c r="AC78" s="25">
        <v>6.2749999999999993E-3</v>
      </c>
      <c r="AD78" s="260"/>
      <c r="AF78" s="6"/>
      <c r="AH78" s="6"/>
      <c r="AJ78" s="6"/>
      <c r="AL78" s="6"/>
      <c r="AN78" s="6"/>
      <c r="AP78" s="6"/>
      <c r="AR78" s="6"/>
      <c r="AT78" s="6"/>
      <c r="AV78" s="6"/>
      <c r="AX78" s="6"/>
      <c r="AZ78" s="6"/>
      <c r="BB78" s="6"/>
      <c r="BD78" s="6"/>
      <c r="BF78" s="6"/>
      <c r="BH78" s="6"/>
      <c r="BJ78" s="6"/>
      <c r="BL78" s="6"/>
      <c r="BN78" s="6"/>
      <c r="BP78" s="6"/>
      <c r="BR78" s="6"/>
      <c r="BT78" s="6"/>
      <c r="BV78" s="6"/>
      <c r="BX78" s="6"/>
      <c r="BZ78" s="6"/>
      <c r="CB78" s="6"/>
      <c r="CD78" s="6"/>
      <c r="CF78" s="6"/>
      <c r="CH78" s="6"/>
      <c r="CJ78" s="6"/>
      <c r="CL78" s="6"/>
      <c r="CN78" s="6"/>
      <c r="CP78" s="6"/>
      <c r="CR78" s="6"/>
      <c r="CT78" s="6"/>
      <c r="CV78" s="6"/>
      <c r="CX78" s="6"/>
      <c r="CZ78" s="6"/>
      <c r="DB78" s="6"/>
      <c r="DD78" s="6"/>
      <c r="DF78" s="6"/>
      <c r="DH78" s="6"/>
      <c r="DJ78" s="6"/>
      <c r="DL78" s="6"/>
      <c r="DN78" s="6"/>
      <c r="DP78" s="6"/>
      <c r="DR78" s="6"/>
      <c r="DT78" s="6"/>
      <c r="DV78" s="6"/>
      <c r="DX78" s="6"/>
      <c r="DZ78" s="6"/>
      <c r="EB78" s="6"/>
      <c r="ED78" s="6"/>
      <c r="EF78" s="6"/>
      <c r="EH78" s="6"/>
      <c r="EJ78" s="6"/>
      <c r="EL78" s="6"/>
      <c r="EN78" s="6"/>
      <c r="EP78" s="6"/>
      <c r="ER78" s="6"/>
      <c r="ET78" s="6"/>
      <c r="EV78" s="6"/>
      <c r="EX78" s="6"/>
      <c r="EZ78" s="6"/>
      <c r="FB78" s="6"/>
      <c r="FD78" s="6"/>
      <c r="FF78" s="6"/>
    </row>
    <row r="79" spans="5:162">
      <c r="E79" s="421">
        <v>42551</v>
      </c>
      <c r="F79" s="25">
        <v>-8.5655059665441513E-3</v>
      </c>
      <c r="G79" s="25">
        <v>-5.7646643370389938E-2</v>
      </c>
      <c r="H79" s="25">
        <v>0.12622553110122681</v>
      </c>
      <c r="I79" s="25">
        <v>-4.1786348447203636E-3</v>
      </c>
      <c r="J79" s="25">
        <v>-5.5798076093196869E-2</v>
      </c>
      <c r="K79" s="25">
        <v>-7.7461645007133484E-2</v>
      </c>
      <c r="L79" s="25">
        <v>-3.7196077406406403E-2</v>
      </c>
      <c r="M79" s="25">
        <v>-1.2948788702487946E-2</v>
      </c>
      <c r="N79" s="25">
        <v>7.6204292476177216E-2</v>
      </c>
      <c r="O79" s="25"/>
      <c r="P79" s="421">
        <v>42551</v>
      </c>
      <c r="Q79" s="25">
        <v>3.1980319803198043E-2</v>
      </c>
      <c r="R79" s="25">
        <v>4.0962789257112497E-2</v>
      </c>
      <c r="S79" s="6"/>
      <c r="T79" s="421">
        <v>42551</v>
      </c>
      <c r="U79" s="25">
        <v>-5.8084770000000001E-2</v>
      </c>
      <c r="V79" s="287">
        <v>2.2464700000000001E-2</v>
      </c>
      <c r="W79" s="25">
        <v>-1.3691699999999999E-2</v>
      </c>
      <c r="X79" s="25">
        <v>-3.6984381367164532E-2</v>
      </c>
      <c r="Y79" s="25">
        <v>-7.2963E-2</v>
      </c>
      <c r="Z79" s="25">
        <v>0.16742080000000001</v>
      </c>
      <c r="AA79" s="25">
        <v>-1.11561E-2</v>
      </c>
      <c r="AB79" s="25">
        <v>-1.4792320000000001E-2</v>
      </c>
      <c r="AC79" s="25">
        <v>1.3945600000000001E-2</v>
      </c>
      <c r="AD79" s="260"/>
      <c r="AF79" s="6"/>
      <c r="AH79" s="6"/>
      <c r="AJ79" s="6"/>
      <c r="AL79" s="6"/>
      <c r="AN79" s="6"/>
      <c r="AP79" s="6"/>
      <c r="AR79" s="6"/>
      <c r="AT79" s="6"/>
      <c r="AV79" s="6"/>
      <c r="AX79" s="6"/>
      <c r="AZ79" s="6"/>
      <c r="BB79" s="6"/>
      <c r="BD79" s="6"/>
      <c r="BF79" s="6"/>
      <c r="BH79" s="6"/>
      <c r="BJ79" s="6"/>
      <c r="BL79" s="6"/>
      <c r="BN79" s="6"/>
      <c r="BP79" s="6"/>
      <c r="BR79" s="6"/>
      <c r="BT79" s="6"/>
      <c r="BV79" s="6"/>
      <c r="BX79" s="6"/>
      <c r="BZ79" s="6"/>
      <c r="CB79" s="6"/>
      <c r="CD79" s="6"/>
      <c r="CF79" s="6"/>
      <c r="CH79" s="6"/>
      <c r="CJ79" s="6"/>
      <c r="CL79" s="6"/>
      <c r="CN79" s="6"/>
      <c r="CP79" s="6"/>
      <c r="CR79" s="6"/>
      <c r="CT79" s="6"/>
      <c r="CV79" s="6"/>
      <c r="CX79" s="6"/>
      <c r="CZ79" s="6"/>
      <c r="DB79" s="6"/>
      <c r="DD79" s="6"/>
      <c r="DF79" s="6"/>
      <c r="DH79" s="6"/>
      <c r="DJ79" s="6"/>
      <c r="DL79" s="6"/>
      <c r="DN79" s="6"/>
      <c r="DP79" s="6"/>
      <c r="DR79" s="6"/>
      <c r="DT79" s="6"/>
      <c r="DV79" s="6"/>
      <c r="DX79" s="6"/>
      <c r="DZ79" s="6"/>
      <c r="EB79" s="6"/>
      <c r="ED79" s="6"/>
      <c r="EF79" s="6"/>
      <c r="EH79" s="6"/>
      <c r="EJ79" s="6"/>
      <c r="EL79" s="6"/>
      <c r="EN79" s="6"/>
      <c r="EP79" s="6"/>
      <c r="ER79" s="6"/>
      <c r="ET79" s="6"/>
      <c r="EV79" s="6"/>
      <c r="EX79" s="6"/>
      <c r="EZ79" s="6"/>
      <c r="FB79" s="6"/>
      <c r="FD79" s="6"/>
      <c r="FF79" s="6"/>
    </row>
    <row r="80" spans="5:162">
      <c r="E80" s="421">
        <v>42582</v>
      </c>
      <c r="F80" s="25">
        <v>3.0446490272879601E-3</v>
      </c>
      <c r="G80" s="25">
        <v>3.3095844089984894E-2</v>
      </c>
      <c r="H80" s="25">
        <v>-3.2612781971693039E-2</v>
      </c>
      <c r="I80" s="25">
        <v>0.10429000854492188</v>
      </c>
      <c r="J80" s="25">
        <v>0.16765767335891724</v>
      </c>
      <c r="K80" s="25">
        <v>7.2671331465244293E-2</v>
      </c>
      <c r="L80" s="25">
        <v>2.1409772336483002E-2</v>
      </c>
      <c r="M80" s="25">
        <v>5.8042183518409729E-2</v>
      </c>
      <c r="N80" s="25">
        <v>3.2199010252952576E-2</v>
      </c>
      <c r="O80" s="25"/>
      <c r="P80" s="421">
        <v>42582</v>
      </c>
      <c r="Q80" s="25">
        <v>2.7377863227597832E-3</v>
      </c>
      <c r="R80" s="25">
        <v>1.5437713586208046E-2</v>
      </c>
      <c r="S80" s="6"/>
      <c r="T80" s="421">
        <v>42582</v>
      </c>
      <c r="U80" s="25">
        <v>3.764108E-2</v>
      </c>
      <c r="V80" s="287">
        <v>3.71277E-2</v>
      </c>
      <c r="W80" s="25">
        <v>5.8772209999999998E-2</v>
      </c>
      <c r="X80" s="25">
        <v>4.4231555421757163E-2</v>
      </c>
      <c r="Y80" s="25">
        <v>3.44468E-2</v>
      </c>
      <c r="Z80" s="25">
        <v>0.14341090000000001</v>
      </c>
      <c r="AA80" s="25">
        <v>4.2317400000000005E-2</v>
      </c>
      <c r="AB80" s="25">
        <v>4.873686E-2</v>
      </c>
      <c r="AC80" s="25">
        <v>5.8257899999999994E-2</v>
      </c>
      <c r="AD80" s="260"/>
      <c r="AF80" s="6"/>
      <c r="AH80" s="6"/>
      <c r="AJ80" s="6"/>
      <c r="AL80" s="6"/>
      <c r="AN80" s="6"/>
      <c r="AP80" s="6"/>
      <c r="AR80" s="6"/>
      <c r="AT80" s="6"/>
      <c r="AV80" s="6"/>
      <c r="AX80" s="6"/>
      <c r="AZ80" s="6"/>
      <c r="BB80" s="6"/>
      <c r="BD80" s="6"/>
      <c r="BF80" s="6"/>
      <c r="BH80" s="6"/>
      <c r="BJ80" s="6"/>
      <c r="BL80" s="6"/>
      <c r="BN80" s="6"/>
      <c r="BP80" s="6"/>
      <c r="BR80" s="6"/>
      <c r="BT80" s="6"/>
      <c r="BV80" s="6"/>
      <c r="BX80" s="6"/>
      <c r="BZ80" s="6"/>
      <c r="CB80" s="6"/>
      <c r="CD80" s="6"/>
      <c r="CF80" s="6"/>
      <c r="CH80" s="6"/>
      <c r="CJ80" s="6"/>
      <c r="CL80" s="6"/>
      <c r="CN80" s="6"/>
      <c r="CP80" s="6"/>
      <c r="CR80" s="6"/>
      <c r="CT80" s="6"/>
      <c r="CV80" s="6"/>
      <c r="CX80" s="6"/>
      <c r="CZ80" s="6"/>
      <c r="DB80" s="6"/>
      <c r="DD80" s="6"/>
      <c r="DF80" s="6"/>
      <c r="DH80" s="6"/>
      <c r="DJ80" s="6"/>
      <c r="DL80" s="6"/>
      <c r="DN80" s="6"/>
      <c r="DP80" s="6"/>
      <c r="DR80" s="6"/>
      <c r="DT80" s="6"/>
      <c r="DV80" s="6"/>
      <c r="DX80" s="6"/>
      <c r="DZ80" s="6"/>
      <c r="EB80" s="6"/>
      <c r="ED80" s="6"/>
      <c r="EF80" s="6"/>
      <c r="EH80" s="6"/>
      <c r="EJ80" s="6"/>
      <c r="EL80" s="6"/>
      <c r="EN80" s="6"/>
      <c r="EP80" s="6"/>
      <c r="ER80" s="6"/>
      <c r="ET80" s="6"/>
      <c r="EV80" s="6"/>
      <c r="EX80" s="6"/>
      <c r="EZ80" s="6"/>
      <c r="FB80" s="6"/>
      <c r="FD80" s="6"/>
      <c r="FF80" s="6"/>
    </row>
    <row r="81" spans="5:162">
      <c r="E81" s="421">
        <v>42613</v>
      </c>
      <c r="F81" s="25">
        <v>-4.081010352820158E-3</v>
      </c>
      <c r="G81" s="25">
        <v>0.18610461056232452</v>
      </c>
      <c r="H81" s="25">
        <v>6.6215735860168934E-3</v>
      </c>
      <c r="I81" s="25">
        <v>6.8600334227085114E-2</v>
      </c>
      <c r="J81" s="25">
        <v>4.8446569591760635E-2</v>
      </c>
      <c r="K81" s="25">
        <v>8.6310818791389465E-2</v>
      </c>
      <c r="L81" s="25">
        <v>4.5273125171661377E-2</v>
      </c>
      <c r="M81" s="25">
        <v>-2.4867739994078875E-3</v>
      </c>
      <c r="N81" s="25">
        <v>-4.0876109153032303E-2</v>
      </c>
      <c r="O81" s="25"/>
      <c r="P81" s="421">
        <v>42613</v>
      </c>
      <c r="Q81" s="25">
        <v>-6.8079648654599811E-3</v>
      </c>
      <c r="R81" s="25">
        <v>1.3227291753872272E-3</v>
      </c>
      <c r="S81" s="6"/>
      <c r="T81" s="421">
        <v>42613</v>
      </c>
      <c r="U81" s="25">
        <v>1.229206E-2</v>
      </c>
      <c r="V81" s="287">
        <v>1.2744699999999999E-2</v>
      </c>
      <c r="W81" s="25">
        <v>1.2619229999999999E-2</v>
      </c>
      <c r="X81" s="25">
        <v>-9.004645022023694E-3</v>
      </c>
      <c r="Y81" s="25">
        <v>-3.4914199999999999E-2</v>
      </c>
      <c r="Z81" s="25">
        <v>-5.87571E-2</v>
      </c>
      <c r="AA81" s="25">
        <v>5.465E-4</v>
      </c>
      <c r="AB81" s="25">
        <v>-3.31248E-3</v>
      </c>
      <c r="AC81" s="25">
        <v>3.2756E-3</v>
      </c>
      <c r="AD81" s="260"/>
      <c r="AF81" s="6"/>
      <c r="AH81" s="6"/>
      <c r="AJ81" s="6"/>
      <c r="AL81" s="6"/>
      <c r="AN81" s="6"/>
      <c r="AP81" s="6"/>
      <c r="AR81" s="6"/>
      <c r="AT81" s="6"/>
      <c r="AV81" s="6"/>
      <c r="AX81" s="6"/>
      <c r="AZ81" s="6"/>
      <c r="BB81" s="6"/>
      <c r="BD81" s="6"/>
      <c r="BF81" s="6"/>
      <c r="BH81" s="6"/>
      <c r="BJ81" s="6"/>
      <c r="BL81" s="6"/>
      <c r="BN81" s="6"/>
      <c r="BP81" s="6"/>
      <c r="BR81" s="6"/>
      <c r="BT81" s="6"/>
      <c r="BV81" s="6"/>
      <c r="BX81" s="6"/>
      <c r="BZ81" s="6"/>
      <c r="CB81" s="6"/>
      <c r="CD81" s="6"/>
      <c r="CF81" s="6"/>
      <c r="CH81" s="6"/>
      <c r="CJ81" s="6"/>
      <c r="CL81" s="6"/>
      <c r="CN81" s="6"/>
      <c r="CP81" s="6"/>
      <c r="CR81" s="6"/>
      <c r="CT81" s="6"/>
      <c r="CV81" s="6"/>
      <c r="CX81" s="6"/>
      <c r="CZ81" s="6"/>
      <c r="DB81" s="6"/>
      <c r="DD81" s="6"/>
      <c r="DF81" s="6"/>
      <c r="DH81" s="6"/>
      <c r="DJ81" s="6"/>
      <c r="DL81" s="6"/>
      <c r="DN81" s="6"/>
      <c r="DP81" s="6"/>
      <c r="DR81" s="6"/>
      <c r="DT81" s="6"/>
      <c r="DV81" s="6"/>
      <c r="DX81" s="6"/>
      <c r="DZ81" s="6"/>
      <c r="EB81" s="6"/>
      <c r="ED81" s="6"/>
      <c r="EF81" s="6"/>
      <c r="EH81" s="6"/>
      <c r="EJ81" s="6"/>
      <c r="EL81" s="6"/>
      <c r="EN81" s="6"/>
      <c r="EP81" s="6"/>
      <c r="ER81" s="6"/>
      <c r="ET81" s="6"/>
      <c r="EV81" s="6"/>
      <c r="EX81" s="6"/>
      <c r="EZ81" s="6"/>
      <c r="FB81" s="6"/>
      <c r="FD81" s="6"/>
      <c r="FF81" s="6"/>
    </row>
    <row r="82" spans="5:162">
      <c r="E82" s="421">
        <v>42643</v>
      </c>
      <c r="F82" s="25">
        <v>3.6163665354251862E-2</v>
      </c>
      <c r="G82" s="25">
        <v>-6.2271803617477417E-3</v>
      </c>
      <c r="H82" s="25">
        <v>4.2854852974414825E-2</v>
      </c>
      <c r="I82" s="25">
        <v>3.2625271705910563E-4</v>
      </c>
      <c r="J82" s="25">
        <v>-3.7817146629095078E-2</v>
      </c>
      <c r="K82" s="25">
        <v>2.199876494705677E-2</v>
      </c>
      <c r="L82" s="25">
        <v>6.0693364590406418E-2</v>
      </c>
      <c r="M82" s="25">
        <v>-3.8882368244230747E-4</v>
      </c>
      <c r="N82" s="25">
        <v>-1.0339098051190376E-2</v>
      </c>
      <c r="O82" s="25"/>
      <c r="P82" s="421">
        <v>42643</v>
      </c>
      <c r="Q82" s="25">
        <v>2.1121524584710949E-2</v>
      </c>
      <c r="R82" s="25">
        <v>-3.5281920941743206E-3</v>
      </c>
      <c r="S82" s="6"/>
      <c r="T82" s="421">
        <v>42643</v>
      </c>
      <c r="U82" s="25">
        <v>1.0759719999999999E-2</v>
      </c>
      <c r="V82" s="287">
        <v>-1.23047E-2</v>
      </c>
      <c r="W82" s="25">
        <v>8.4433999999999996E-4</v>
      </c>
      <c r="X82" s="25">
        <v>-8.2149872611325669E-4</v>
      </c>
      <c r="Y82" s="25">
        <v>-7.8210000000000002E-2</v>
      </c>
      <c r="Z82" s="25">
        <v>7.4429800000000004E-2</v>
      </c>
      <c r="AA82" s="25">
        <v>4.9824999999999999E-3</v>
      </c>
      <c r="AB82" s="25">
        <v>1.217962E-2</v>
      </c>
      <c r="AC82" s="25">
        <v>-1.1585000000000002E-2</v>
      </c>
      <c r="AD82" s="260"/>
      <c r="AF82" s="6"/>
      <c r="AH82" s="6"/>
      <c r="AJ82" s="6"/>
      <c r="AL82" s="6"/>
      <c r="AN82" s="6"/>
      <c r="AP82" s="6"/>
      <c r="AR82" s="6"/>
      <c r="AT82" s="6"/>
      <c r="AV82" s="6"/>
      <c r="AX82" s="6"/>
      <c r="AZ82" s="6"/>
      <c r="BB82" s="6"/>
      <c r="BD82" s="6"/>
      <c r="BF82" s="6"/>
      <c r="BH82" s="6"/>
      <c r="BJ82" s="6"/>
      <c r="BL82" s="6"/>
      <c r="BN82" s="6"/>
      <c r="BP82" s="6"/>
      <c r="BR82" s="6"/>
      <c r="BT82" s="6"/>
      <c r="BV82" s="6"/>
      <c r="BX82" s="6"/>
      <c r="BZ82" s="6"/>
      <c r="CB82" s="6"/>
      <c r="CD82" s="6"/>
      <c r="CF82" s="6"/>
      <c r="CH82" s="6"/>
      <c r="CJ82" s="6"/>
      <c r="CL82" s="6"/>
      <c r="CN82" s="6"/>
      <c r="CP82" s="6"/>
      <c r="CR82" s="6"/>
      <c r="CT82" s="6"/>
      <c r="CV82" s="6"/>
      <c r="CX82" s="6"/>
      <c r="CZ82" s="6"/>
      <c r="DB82" s="6"/>
      <c r="DD82" s="6"/>
      <c r="DF82" s="6"/>
      <c r="DH82" s="6"/>
      <c r="DJ82" s="6"/>
      <c r="DL82" s="6"/>
      <c r="DN82" s="6"/>
      <c r="DP82" s="6"/>
      <c r="DR82" s="6"/>
      <c r="DT82" s="6"/>
      <c r="DV82" s="6"/>
      <c r="DX82" s="6"/>
      <c r="DZ82" s="6"/>
      <c r="EB82" s="6"/>
      <c r="ED82" s="6"/>
      <c r="EF82" s="6"/>
      <c r="EH82" s="6"/>
      <c r="EJ82" s="6"/>
      <c r="EL82" s="6"/>
      <c r="EN82" s="6"/>
      <c r="EP82" s="6"/>
      <c r="ER82" s="6"/>
      <c r="ET82" s="6"/>
      <c r="EV82" s="6"/>
      <c r="EX82" s="6"/>
      <c r="EZ82" s="6"/>
      <c r="FB82" s="6"/>
      <c r="FD82" s="6"/>
      <c r="FF82" s="6"/>
    </row>
    <row r="83" spans="5:162">
      <c r="E83" s="421">
        <v>42674</v>
      </c>
      <c r="F83" s="25">
        <v>2.4549342691898346E-2</v>
      </c>
      <c r="G83" s="25">
        <v>-2.7386728674173355E-2</v>
      </c>
      <c r="H83" s="25">
        <v>1.0056700557470322E-2</v>
      </c>
      <c r="I83" s="25">
        <v>7.154389750212431E-4</v>
      </c>
      <c r="J83" s="25">
        <v>1.3473426923155785E-2</v>
      </c>
      <c r="K83" s="25">
        <v>1.5179884620010853E-2</v>
      </c>
      <c r="L83" s="25">
        <v>-9.6895890310406685E-3</v>
      </c>
      <c r="M83" s="25">
        <v>-3.2683473080396652E-2</v>
      </c>
      <c r="N83" s="25">
        <v>-1.8315635621547699E-2</v>
      </c>
      <c r="O83" s="25"/>
      <c r="P83" s="421">
        <v>42674</v>
      </c>
      <c r="Q83" s="25">
        <v>-6.6904905614582066E-3</v>
      </c>
      <c r="R83" s="25">
        <v>-3.2105280821573046E-2</v>
      </c>
      <c r="S83" s="6"/>
      <c r="T83" s="421">
        <v>42674</v>
      </c>
      <c r="U83" s="25">
        <v>-2.1414399999999997E-2</v>
      </c>
      <c r="V83" s="287">
        <v>-2.82759E-2</v>
      </c>
      <c r="W83" s="25">
        <v>-1.885678E-2</v>
      </c>
      <c r="X83" s="25">
        <v>-4.1306650396466187E-2</v>
      </c>
      <c r="Y83" s="25">
        <v>6.8058099999999996E-2</v>
      </c>
      <c r="Z83" s="25">
        <v>-0.1162011</v>
      </c>
      <c r="AA83" s="25">
        <v>-1.9520099999999999E-2</v>
      </c>
      <c r="AB83" s="25">
        <v>-3.1104669999999997E-2</v>
      </c>
      <c r="AC83" s="25">
        <v>-1.6515700000000001E-2</v>
      </c>
      <c r="AD83" s="260"/>
      <c r="AF83" s="6"/>
      <c r="AH83" s="6"/>
      <c r="AJ83" s="6"/>
      <c r="AL83" s="6"/>
      <c r="AN83" s="6"/>
      <c r="AP83" s="6"/>
      <c r="AR83" s="6"/>
      <c r="AT83" s="6"/>
      <c r="AV83" s="6"/>
      <c r="AX83" s="6"/>
      <c r="AZ83" s="6"/>
      <c r="BB83" s="6"/>
      <c r="BD83" s="6"/>
      <c r="BF83" s="6"/>
      <c r="BH83" s="6"/>
      <c r="BJ83" s="6"/>
      <c r="BL83" s="6"/>
      <c r="BN83" s="6"/>
      <c r="BP83" s="6"/>
      <c r="BR83" s="6"/>
      <c r="BT83" s="6"/>
      <c r="BV83" s="6"/>
      <c r="BX83" s="6"/>
      <c r="BZ83" s="6"/>
      <c r="CB83" s="6"/>
      <c r="CD83" s="6"/>
      <c r="CF83" s="6"/>
      <c r="CH83" s="6"/>
      <c r="CJ83" s="6"/>
      <c r="CL83" s="6"/>
      <c r="CN83" s="6"/>
      <c r="CP83" s="6"/>
      <c r="CR83" s="6"/>
      <c r="CT83" s="6"/>
      <c r="CV83" s="6"/>
      <c r="CX83" s="6"/>
      <c r="CZ83" s="6"/>
      <c r="DB83" s="6"/>
      <c r="DD83" s="6"/>
      <c r="DF83" s="6"/>
      <c r="DH83" s="6"/>
      <c r="DJ83" s="6"/>
      <c r="DL83" s="6"/>
      <c r="DN83" s="6"/>
      <c r="DP83" s="6"/>
      <c r="DR83" s="6"/>
      <c r="DT83" s="6"/>
      <c r="DV83" s="6"/>
      <c r="DX83" s="6"/>
      <c r="DZ83" s="6"/>
      <c r="EB83" s="6"/>
      <c r="ED83" s="6"/>
      <c r="EF83" s="6"/>
      <c r="EH83" s="6"/>
      <c r="EJ83" s="6"/>
      <c r="EL83" s="6"/>
      <c r="EN83" s="6"/>
      <c r="EP83" s="6"/>
      <c r="ER83" s="6"/>
      <c r="ET83" s="6"/>
      <c r="EV83" s="6"/>
      <c r="EX83" s="6"/>
      <c r="EZ83" s="6"/>
      <c r="FB83" s="6"/>
      <c r="FD83" s="6"/>
      <c r="FF83" s="6"/>
    </row>
    <row r="84" spans="5:162">
      <c r="E84" s="421">
        <v>42704</v>
      </c>
      <c r="F84" s="25">
        <v>5.0343316048383713E-2</v>
      </c>
      <c r="G84" s="25">
        <v>-0.17548456788063049</v>
      </c>
      <c r="H84" s="25">
        <v>-1.0879273526370525E-2</v>
      </c>
      <c r="I84" s="25">
        <v>-0.16556602716445923</v>
      </c>
      <c r="J84" s="25">
        <v>8.6176525801420212E-3</v>
      </c>
      <c r="K84" s="25">
        <v>-4.3667949736118317E-2</v>
      </c>
      <c r="L84" s="25">
        <v>-4.3816864490509033E-2</v>
      </c>
      <c r="M84" s="25">
        <v>6.4924448728561401E-2</v>
      </c>
      <c r="N84" s="25">
        <v>-3.3880114555358887E-2</v>
      </c>
      <c r="O84" s="25"/>
      <c r="P84" s="421">
        <v>42704</v>
      </c>
      <c r="Q84" s="25">
        <v>-5.2064712766367927E-2</v>
      </c>
      <c r="R84" s="25">
        <v>-3.287982350825025E-2</v>
      </c>
      <c r="S84" s="6"/>
      <c r="T84" s="421">
        <v>42704</v>
      </c>
      <c r="U84" s="25">
        <v>-2.7943099999999998E-2</v>
      </c>
      <c r="V84" s="287">
        <v>-9.1779299999999994E-2</v>
      </c>
      <c r="W84" s="25">
        <v>-4.4654100000000004E-3</v>
      </c>
      <c r="X84" s="25">
        <v>-7.0656678642119219E-3</v>
      </c>
      <c r="Y84" s="25">
        <v>-0.17438400000000001</v>
      </c>
      <c r="Z84" s="25">
        <v>-0.1795196</v>
      </c>
      <c r="AA84" s="25">
        <v>1.4875899999999999E-2</v>
      </c>
      <c r="AB84" s="25">
        <v>-2.5427599999999998E-3</v>
      </c>
      <c r="AC84" s="25">
        <v>0.1175515</v>
      </c>
      <c r="AD84" s="260"/>
      <c r="AF84" s="6"/>
      <c r="AH84" s="6"/>
      <c r="AJ84" s="6"/>
      <c r="AL84" s="6"/>
      <c r="AN84" s="6"/>
      <c r="AP84" s="6"/>
      <c r="AR84" s="6"/>
      <c r="AT84" s="6"/>
      <c r="AV84" s="6"/>
      <c r="AX84" s="6"/>
      <c r="AZ84" s="6"/>
      <c r="BB84" s="6"/>
      <c r="BD84" s="6"/>
      <c r="BF84" s="6"/>
      <c r="BH84" s="6"/>
      <c r="BJ84" s="6"/>
      <c r="BL84" s="6"/>
      <c r="BN84" s="6"/>
      <c r="BP84" s="6"/>
      <c r="BR84" s="6"/>
      <c r="BT84" s="6"/>
      <c r="BV84" s="6"/>
      <c r="BX84" s="6"/>
      <c r="BZ84" s="6"/>
      <c r="CB84" s="6"/>
      <c r="CD84" s="6"/>
      <c r="CF84" s="6"/>
      <c r="CH84" s="6"/>
      <c r="CJ84" s="6"/>
      <c r="CL84" s="6"/>
      <c r="CN84" s="6"/>
      <c r="CP84" s="6"/>
      <c r="CR84" s="6"/>
      <c r="CT84" s="6"/>
      <c r="CV84" s="6"/>
      <c r="CX84" s="6"/>
      <c r="CZ84" s="6"/>
      <c r="DB84" s="6"/>
      <c r="DD84" s="6"/>
      <c r="DF84" s="6"/>
      <c r="DH84" s="6"/>
      <c r="DJ84" s="6"/>
      <c r="DL84" s="6"/>
      <c r="DN84" s="6"/>
      <c r="DP84" s="6"/>
      <c r="DR84" s="6"/>
      <c r="DT84" s="6"/>
      <c r="DV84" s="6"/>
      <c r="DX84" s="6"/>
      <c r="DZ84" s="6"/>
      <c r="EB84" s="6"/>
      <c r="ED84" s="6"/>
      <c r="EF84" s="6"/>
      <c r="EH84" s="6"/>
      <c r="EJ84" s="6"/>
      <c r="EL84" s="6"/>
      <c r="EN84" s="6"/>
      <c r="EP84" s="6"/>
      <c r="ER84" s="6"/>
      <c r="ET84" s="6"/>
      <c r="EV84" s="6"/>
      <c r="EX84" s="6"/>
      <c r="EZ84" s="6"/>
      <c r="FB84" s="6"/>
      <c r="FD84" s="6"/>
      <c r="FF84" s="6"/>
    </row>
    <row r="85" spans="5:162">
      <c r="E85" s="421">
        <v>42735</v>
      </c>
      <c r="F85" s="25">
        <v>9.8361238837242126E-2</v>
      </c>
      <c r="G85" s="25">
        <v>-1.4420942403376102E-2</v>
      </c>
      <c r="H85" s="25">
        <v>9.6640869975090027E-2</v>
      </c>
      <c r="I85" s="25">
        <v>3.6117672920227051E-2</v>
      </c>
      <c r="J85" s="25">
        <v>1.0287058539688587E-2</v>
      </c>
      <c r="K85" s="25">
        <v>6.2136262655258179E-2</v>
      </c>
      <c r="L85" s="25">
        <v>1.0617352090775967E-3</v>
      </c>
      <c r="M85" s="25">
        <v>2.2940050810575485E-2</v>
      </c>
      <c r="N85" s="25">
        <v>3.4830275923013687E-2</v>
      </c>
      <c r="O85" s="25"/>
      <c r="P85" s="421">
        <v>42735</v>
      </c>
      <c r="Q85" s="25">
        <v>2.1214752308015727E-2</v>
      </c>
      <c r="R85" s="25">
        <v>-5.1314686756329664E-3</v>
      </c>
      <c r="S85" s="6"/>
      <c r="T85" s="421">
        <v>42735</v>
      </c>
      <c r="U85" s="25">
        <v>4.9779359999999995E-2</v>
      </c>
      <c r="V85" s="287">
        <v>4.6049000000000003E-3</v>
      </c>
      <c r="W85" s="25">
        <v>1.3488E-3</v>
      </c>
      <c r="X85" s="25">
        <v>1.5667605245154093E-2</v>
      </c>
      <c r="Y85" s="25">
        <v>-3.6789299999999997E-2</v>
      </c>
      <c r="Z85" s="25">
        <v>-1.8047299999999999E-2</v>
      </c>
      <c r="AA85" s="25">
        <v>2.3723499999999998E-2</v>
      </c>
      <c r="AB85" s="25">
        <v>1.368898E-2</v>
      </c>
      <c r="AC85" s="25">
        <v>6.7183699999999999E-2</v>
      </c>
      <c r="AD85" s="260"/>
      <c r="AF85" s="6"/>
      <c r="AH85" s="6"/>
      <c r="AJ85" s="6"/>
      <c r="AL85" s="6"/>
      <c r="AN85" s="6"/>
      <c r="AP85" s="6"/>
      <c r="AR85" s="6"/>
      <c r="AT85" s="6"/>
      <c r="AV85" s="6"/>
      <c r="AX85" s="6"/>
      <c r="AZ85" s="6"/>
      <c r="BB85" s="6"/>
      <c r="BD85" s="6"/>
      <c r="BF85" s="6"/>
      <c r="BH85" s="6"/>
      <c r="BJ85" s="6"/>
      <c r="BL85" s="6"/>
      <c r="BN85" s="6"/>
      <c r="BP85" s="6"/>
      <c r="BR85" s="6"/>
      <c r="BT85" s="6"/>
      <c r="BV85" s="6"/>
      <c r="BX85" s="6"/>
      <c r="BZ85" s="6"/>
      <c r="CB85" s="6"/>
      <c r="CD85" s="6"/>
      <c r="CF85" s="6"/>
      <c r="CH85" s="6"/>
      <c r="CJ85" s="6"/>
      <c r="CL85" s="6"/>
      <c r="CN85" s="6"/>
      <c r="CP85" s="6"/>
      <c r="CR85" s="6"/>
      <c r="CT85" s="6"/>
      <c r="CV85" s="6"/>
      <c r="CX85" s="6"/>
      <c r="CZ85" s="6"/>
      <c r="DB85" s="6"/>
      <c r="DD85" s="6"/>
      <c r="DF85" s="6"/>
      <c r="DH85" s="6"/>
      <c r="DJ85" s="6"/>
      <c r="DL85" s="6"/>
      <c r="DN85" s="6"/>
      <c r="DP85" s="6"/>
      <c r="DR85" s="6"/>
      <c r="DT85" s="6"/>
      <c r="DV85" s="6"/>
      <c r="DX85" s="6"/>
      <c r="DZ85" s="6"/>
      <c r="EB85" s="6"/>
      <c r="ED85" s="6"/>
      <c r="EF85" s="6"/>
      <c r="EH85" s="6"/>
      <c r="EJ85" s="6"/>
      <c r="EL85" s="6"/>
      <c r="EN85" s="6"/>
      <c r="EP85" s="6"/>
      <c r="ER85" s="6"/>
      <c r="ET85" s="6"/>
      <c r="EV85" s="6"/>
      <c r="EX85" s="6"/>
      <c r="EZ85" s="6"/>
      <c r="FB85" s="6"/>
      <c r="FD85" s="6"/>
      <c r="FF85" s="6"/>
    </row>
    <row r="86" spans="5:162">
      <c r="E86" s="421">
        <v>42766</v>
      </c>
      <c r="F86" s="25">
        <v>-1.5629139072847797E-2</v>
      </c>
      <c r="G86" s="25">
        <v>7.4809512814592471E-2</v>
      </c>
      <c r="H86" s="25">
        <v>-5.5256596106326272E-2</v>
      </c>
      <c r="I86" s="25">
        <v>0.10964467005076139</v>
      </c>
      <c r="J86" s="25">
        <v>-8.1790787774430607E-3</v>
      </c>
      <c r="K86" s="25">
        <v>-4.1282692025011558E-2</v>
      </c>
      <c r="L86" s="25">
        <v>0.10131138714289833</v>
      </c>
      <c r="M86" s="25">
        <v>5.1386619984638671E-2</v>
      </c>
      <c r="N86" s="25">
        <v>-1.7012680756396059E-2</v>
      </c>
      <c r="P86" s="421">
        <v>42766</v>
      </c>
      <c r="Q86" s="25">
        <v>4.7825119479760758E-4</v>
      </c>
      <c r="R86" s="25">
        <v>8.2572030920591288E-3</v>
      </c>
      <c r="S86" s="6"/>
      <c r="T86" s="421">
        <v>42766</v>
      </c>
      <c r="U86" s="25">
        <v>3.3691260000000001E-2</v>
      </c>
      <c r="V86" s="287">
        <v>4.26162E-2</v>
      </c>
      <c r="W86" s="25">
        <v>5.9171229999999998E-2</v>
      </c>
      <c r="X86" s="25">
        <v>2.5156473327753393E-2</v>
      </c>
      <c r="Y86" s="25">
        <v>6.5437999999999996E-2</v>
      </c>
      <c r="Z86" s="25">
        <v>0.14488190000000001</v>
      </c>
      <c r="AA86" s="25">
        <v>2.36969E-2</v>
      </c>
      <c r="AB86" s="25">
        <v>2.9674740000000002E-2</v>
      </c>
      <c r="AC86" s="25">
        <v>1.0174399999999998E-2</v>
      </c>
      <c r="AD86" s="6"/>
      <c r="AF86" s="6"/>
      <c r="AH86" s="6"/>
      <c r="AJ86" s="6"/>
      <c r="AL86" s="6"/>
      <c r="AN86" s="6"/>
      <c r="AP86" s="6"/>
      <c r="AR86" s="6"/>
      <c r="AT86" s="6"/>
      <c r="AV86" s="6"/>
      <c r="AX86" s="6"/>
      <c r="AZ86" s="6"/>
      <c r="BB86" s="6"/>
      <c r="BD86" s="6"/>
      <c r="BF86" s="6"/>
      <c r="BH86" s="6"/>
      <c r="BJ86" s="6"/>
      <c r="BL86" s="6"/>
      <c r="BN86" s="6"/>
      <c r="BP86" s="6"/>
      <c r="BR86" s="6"/>
      <c r="BT86" s="6"/>
      <c r="BV86" s="6"/>
      <c r="BX86" s="6"/>
      <c r="BZ86" s="6"/>
      <c r="CB86" s="6"/>
      <c r="CD86" s="6"/>
      <c r="CF86" s="6"/>
      <c r="CH86" s="6"/>
      <c r="CJ86" s="6"/>
      <c r="CL86" s="6"/>
      <c r="CN86" s="6"/>
      <c r="CP86" s="6"/>
      <c r="CR86" s="6"/>
      <c r="CT86" s="6"/>
      <c r="CV86" s="6"/>
      <c r="CX86" s="6"/>
      <c r="CZ86" s="6"/>
      <c r="DB86" s="6"/>
      <c r="DD86" s="6"/>
      <c r="DF86" s="6"/>
      <c r="DH86" s="6"/>
      <c r="DJ86" s="6"/>
      <c r="DL86" s="6"/>
      <c r="DN86" s="6"/>
      <c r="DP86" s="6"/>
      <c r="DR86" s="6"/>
      <c r="DT86" s="6"/>
      <c r="DV86" s="6"/>
      <c r="DX86" s="6"/>
      <c r="DZ86" s="6"/>
      <c r="EB86" s="6"/>
      <c r="ED86" s="6"/>
      <c r="EF86" s="6"/>
      <c r="EH86" s="6"/>
      <c r="EJ86" s="6"/>
      <c r="EL86" s="6"/>
      <c r="EN86" s="6"/>
      <c r="EP86" s="6"/>
      <c r="ER86" s="6"/>
      <c r="ET86" s="6"/>
      <c r="EV86" s="6"/>
      <c r="EX86" s="6"/>
      <c r="EZ86" s="6"/>
      <c r="FB86" s="6"/>
      <c r="FD86" s="6"/>
      <c r="FF86" s="6"/>
    </row>
    <row r="87" spans="5:162">
      <c r="E87" s="421">
        <v>42794</v>
      </c>
      <c r="F87" s="25">
        <v>-7.9924650161463884E-2</v>
      </c>
      <c r="G87" s="25">
        <v>6.3301109917651255E-2</v>
      </c>
      <c r="H87" s="25">
        <v>-3.3999413455879979E-2</v>
      </c>
      <c r="I87" s="25">
        <v>-0.11292641484773236</v>
      </c>
      <c r="J87" s="25">
        <v>-2.734375E-2</v>
      </c>
      <c r="K87" s="25">
        <v>3.3967070811907307E-2</v>
      </c>
      <c r="L87" s="25">
        <v>4.3746811538427188E-2</v>
      </c>
      <c r="M87" s="25">
        <v>3.8558666800164731E-2</v>
      </c>
      <c r="N87" s="25">
        <v>8.6150862911811288E-2</v>
      </c>
      <c r="P87" s="421">
        <v>42794</v>
      </c>
      <c r="Q87" s="25">
        <v>1.6249448116292475E-2</v>
      </c>
      <c r="R87" s="25">
        <v>1.6776799317311575E-2</v>
      </c>
      <c r="S87" s="6"/>
      <c r="T87" s="421">
        <v>42794</v>
      </c>
      <c r="U87" s="25">
        <v>3.7009999999999999E-3</v>
      </c>
      <c r="V87" s="287">
        <v>4.4752299999999995E-2</v>
      </c>
      <c r="W87" s="25">
        <v>3.72679E-2</v>
      </c>
      <c r="X87" s="25">
        <v>2.6762778864314773E-2</v>
      </c>
      <c r="Y87" s="25">
        <v>4.4622700000000001E-2</v>
      </c>
      <c r="Z87" s="25">
        <v>-3.0261300000000001E-2</v>
      </c>
      <c r="AA87" s="25">
        <v>2.7430400000000001E-2</v>
      </c>
      <c r="AB87" s="25">
        <v>1.5280480000000001E-2</v>
      </c>
      <c r="AC87" s="25">
        <v>0.1039568</v>
      </c>
      <c r="AD87" s="6"/>
      <c r="AF87" s="6"/>
      <c r="AH87" s="6"/>
      <c r="AJ87" s="6"/>
      <c r="AL87" s="6"/>
      <c r="AN87" s="6"/>
      <c r="AP87" s="6"/>
      <c r="AR87" s="6"/>
      <c r="AT87" s="6"/>
      <c r="AV87" s="6"/>
      <c r="AX87" s="6"/>
      <c r="AZ87" s="6"/>
      <c r="BB87" s="6"/>
      <c r="BD87" s="6"/>
      <c r="BF87" s="6"/>
      <c r="BH87" s="6"/>
      <c r="BJ87" s="6"/>
      <c r="BL87" s="6"/>
      <c r="BN87" s="6"/>
      <c r="BP87" s="6"/>
      <c r="BR87" s="6"/>
      <c r="BT87" s="6"/>
      <c r="BV87" s="6"/>
      <c r="BX87" s="6"/>
      <c r="BZ87" s="6"/>
      <c r="CB87" s="6"/>
      <c r="CD87" s="6"/>
      <c r="CF87" s="6"/>
      <c r="CH87" s="6"/>
      <c r="CJ87" s="6"/>
      <c r="CL87" s="6"/>
      <c r="CN87" s="6"/>
      <c r="CP87" s="6"/>
      <c r="CR87" s="6"/>
      <c r="CT87" s="6"/>
      <c r="CV87" s="6"/>
      <c r="CX87" s="6"/>
      <c r="CZ87" s="6"/>
      <c r="DB87" s="6"/>
      <c r="DD87" s="6"/>
      <c r="DF87" s="6"/>
      <c r="DH87" s="6"/>
      <c r="DJ87" s="6"/>
      <c r="DL87" s="6"/>
      <c r="DN87" s="6"/>
      <c r="DP87" s="6"/>
      <c r="DR87" s="6"/>
      <c r="DT87" s="6"/>
      <c r="DV87" s="6"/>
      <c r="DX87" s="6"/>
      <c r="DZ87" s="6"/>
      <c r="EB87" s="6"/>
      <c r="ED87" s="6"/>
      <c r="EF87" s="6"/>
      <c r="EH87" s="6"/>
      <c r="EJ87" s="6"/>
      <c r="EL87" s="6"/>
      <c r="EN87" s="6"/>
      <c r="EP87" s="6"/>
      <c r="ER87" s="6"/>
      <c r="ET87" s="6"/>
      <c r="EV87" s="6"/>
      <c r="EX87" s="6"/>
      <c r="EZ87" s="6"/>
      <c r="FB87" s="6"/>
      <c r="FD87" s="6"/>
      <c r="FF87" s="6"/>
    </row>
    <row r="88" spans="5:162">
      <c r="E88" s="421">
        <v>42825</v>
      </c>
      <c r="F88" s="25">
        <v>-9.9444281953786628E-3</v>
      </c>
      <c r="G88" s="25">
        <v>9.5932386019260685E-2</v>
      </c>
      <c r="H88" s="25">
        <v>1.3724163588949789E-2</v>
      </c>
      <c r="I88" s="25">
        <v>4.7885663768970188E-2</v>
      </c>
      <c r="J88" s="25">
        <v>-2.9674252565818793E-2</v>
      </c>
      <c r="K88" s="25">
        <v>6.2770908427248306E-2</v>
      </c>
      <c r="L88" s="25">
        <v>9.9627954737172564E-2</v>
      </c>
      <c r="M88" s="25">
        <v>-3.1585524788888319E-2</v>
      </c>
      <c r="N88" s="25">
        <v>1.9147405769476045E-2</v>
      </c>
      <c r="P88" s="421">
        <v>42825</v>
      </c>
      <c r="Q88" s="25">
        <v>1.2017534690464293E-2</v>
      </c>
      <c r="R88" s="25">
        <v>-8.968432523640435E-3</v>
      </c>
      <c r="S88" s="6"/>
      <c r="T88" s="421">
        <v>42825</v>
      </c>
      <c r="U88" s="25">
        <v>3.5135079999999999E-2</v>
      </c>
      <c r="V88" s="287">
        <v>-1.0619499999999999E-2</v>
      </c>
      <c r="W88" s="25">
        <v>1.925079E-2</v>
      </c>
      <c r="X88" s="25">
        <v>1.6023878842512218E-2</v>
      </c>
      <c r="Y88" s="25">
        <v>1.46388E-2</v>
      </c>
      <c r="Z88" s="25">
        <v>-4.9645400000000006E-2</v>
      </c>
      <c r="AA88" s="25">
        <v>1.0771299999999999E-2</v>
      </c>
      <c r="AB88" s="25">
        <v>1.8843740000000001E-2</v>
      </c>
      <c r="AC88" s="25">
        <v>-1.5395900000000001E-2</v>
      </c>
      <c r="AD88" s="6"/>
      <c r="AF88" s="6"/>
      <c r="AH88" s="6"/>
      <c r="AJ88" s="6"/>
      <c r="AL88" s="6"/>
      <c r="AN88" s="6"/>
      <c r="AP88" s="6"/>
      <c r="AR88" s="6"/>
      <c r="AT88" s="6"/>
      <c r="AV88" s="6"/>
      <c r="AX88" s="6"/>
      <c r="AZ88" s="6"/>
      <c r="BB88" s="6"/>
      <c r="BD88" s="6"/>
      <c r="BF88" s="6"/>
      <c r="BH88" s="6"/>
      <c r="BJ88" s="6"/>
      <c r="BL88" s="6"/>
      <c r="BN88" s="6"/>
      <c r="BP88" s="6"/>
      <c r="BR88" s="6"/>
      <c r="BT88" s="6"/>
      <c r="BV88" s="6"/>
      <c r="BX88" s="6"/>
      <c r="BZ88" s="6"/>
      <c r="CB88" s="6"/>
      <c r="CD88" s="6"/>
      <c r="CF88" s="6"/>
      <c r="CH88" s="6"/>
      <c r="CJ88" s="6"/>
      <c r="CL88" s="6"/>
      <c r="CN88" s="6"/>
      <c r="CP88" s="6"/>
      <c r="CR88" s="6"/>
      <c r="CT88" s="6"/>
      <c r="CV88" s="6"/>
      <c r="CX88" s="6"/>
      <c r="CZ88" s="6"/>
      <c r="DB88" s="6"/>
      <c r="DD88" s="6"/>
      <c r="DF88" s="6"/>
      <c r="DH88" s="6"/>
      <c r="DJ88" s="6"/>
      <c r="DL88" s="6"/>
      <c r="DN88" s="6"/>
      <c r="DP88" s="6"/>
      <c r="DR88" s="6"/>
      <c r="DT88" s="6"/>
      <c r="DV88" s="6"/>
      <c r="DX88" s="6"/>
      <c r="DZ88" s="6"/>
      <c r="EB88" s="6"/>
      <c r="ED88" s="6"/>
      <c r="EF88" s="6"/>
      <c r="EH88" s="6"/>
      <c r="EJ88" s="6"/>
      <c r="EL88" s="6"/>
      <c r="EN88" s="6"/>
      <c r="EP88" s="6"/>
      <c r="ER88" s="6"/>
      <c r="ET88" s="6"/>
      <c r="EV88" s="6"/>
      <c r="EX88" s="6"/>
      <c r="EZ88" s="6"/>
      <c r="FB88" s="6"/>
      <c r="FD88" s="6"/>
      <c r="FF88" s="6"/>
    </row>
    <row r="89" spans="5:162">
      <c r="E89" s="421">
        <v>42855</v>
      </c>
      <c r="F89" s="25">
        <v>5.7016248153618942E-2</v>
      </c>
      <c r="G89" s="25">
        <v>7.38316895566411E-2</v>
      </c>
      <c r="H89" s="25">
        <v>5.9659411225965187E-4</v>
      </c>
      <c r="I89" s="25">
        <v>-5.6242969628796935E-3</v>
      </c>
      <c r="J89" s="25">
        <v>-1.6095654173373664E-3</v>
      </c>
      <c r="K89" s="25">
        <v>7.5286301531592326E-2</v>
      </c>
      <c r="L89" s="25">
        <v>2.7741522313600164E-2</v>
      </c>
      <c r="M89" s="25">
        <v>-7.9533513507534459E-2</v>
      </c>
      <c r="N89" s="25">
        <v>-8.6712955011981618E-3</v>
      </c>
      <c r="P89" s="421">
        <v>42855</v>
      </c>
      <c r="Q89" s="25">
        <v>8.0919258267031502E-3</v>
      </c>
      <c r="R89" s="25">
        <v>1.5877801671581038E-2</v>
      </c>
      <c r="S89" s="6"/>
      <c r="T89" s="421">
        <v>42855</v>
      </c>
      <c r="U89" s="25">
        <v>4.0044980000000001E-2</v>
      </c>
      <c r="V89" s="287">
        <v>-5.5572999999999994E-3</v>
      </c>
      <c r="W89" s="25">
        <v>3.2232660000000003E-2</v>
      </c>
      <c r="X89" s="25">
        <v>3.0543142432466697E-2</v>
      </c>
      <c r="Y89" s="25">
        <v>6.6225199999999998E-2</v>
      </c>
      <c r="Z89" s="25">
        <v>-7.0149299999999998E-2</v>
      </c>
      <c r="AA89" s="25">
        <v>1.4795000000000001E-2</v>
      </c>
      <c r="AB89" s="25">
        <v>2.651015E-2</v>
      </c>
      <c r="AC89" s="25">
        <v>2.6640199999999999E-2</v>
      </c>
      <c r="AD89" s="6"/>
      <c r="AF89" s="6"/>
      <c r="AH89" s="6"/>
      <c r="AJ89" s="6"/>
      <c r="AL89" s="6"/>
      <c r="AN89" s="6"/>
      <c r="AP89" s="6"/>
      <c r="AR89" s="6"/>
      <c r="AT89" s="6"/>
      <c r="AV89" s="6"/>
      <c r="AX89" s="6"/>
      <c r="AZ89" s="6"/>
      <c r="BB89" s="6"/>
      <c r="BD89" s="6"/>
      <c r="BF89" s="6"/>
      <c r="BH89" s="6"/>
      <c r="BJ89" s="6"/>
      <c r="BL89" s="6"/>
      <c r="BN89" s="6"/>
      <c r="BP89" s="6"/>
      <c r="BR89" s="6"/>
      <c r="BT89" s="6"/>
      <c r="BV89" s="6"/>
      <c r="BX89" s="6"/>
      <c r="BZ89" s="6"/>
      <c r="CB89" s="6"/>
      <c r="CD89" s="6"/>
      <c r="CF89" s="6"/>
      <c r="CH89" s="6"/>
      <c r="CJ89" s="6"/>
      <c r="CL89" s="6"/>
      <c r="CN89" s="6"/>
      <c r="CP89" s="6"/>
      <c r="CR89" s="6"/>
      <c r="CT89" s="6"/>
      <c r="CV89" s="6"/>
      <c r="CX89" s="6"/>
      <c r="CZ89" s="6"/>
      <c r="DB89" s="6"/>
      <c r="DD89" s="6"/>
      <c r="DF89" s="6"/>
      <c r="DH89" s="6"/>
      <c r="DJ89" s="6"/>
      <c r="DL89" s="6"/>
      <c r="DN89" s="6"/>
      <c r="DP89" s="6"/>
      <c r="DR89" s="6"/>
      <c r="DT89" s="6"/>
      <c r="DV89" s="6"/>
      <c r="DX89" s="6"/>
      <c r="DZ89" s="6"/>
      <c r="EB89" s="6"/>
      <c r="ED89" s="6"/>
      <c r="EF89" s="6"/>
      <c r="EH89" s="6"/>
      <c r="EJ89" s="6"/>
      <c r="EL89" s="6"/>
      <c r="EN89" s="6"/>
      <c r="EP89" s="6"/>
      <c r="ER89" s="6"/>
      <c r="ET89" s="6"/>
      <c r="EV89" s="6"/>
      <c r="EX89" s="6"/>
      <c r="EZ89" s="6"/>
      <c r="FB89" s="6"/>
      <c r="FD89" s="6"/>
      <c r="FF89" s="6"/>
    </row>
    <row r="90" spans="5:162">
      <c r="E90" s="421">
        <v>42886</v>
      </c>
      <c r="F90" s="25">
        <v>-0.11682504192286192</v>
      </c>
      <c r="G90" s="25">
        <v>3.321888412017171E-2</v>
      </c>
      <c r="H90" s="25">
        <v>7.0309344139078078E-2</v>
      </c>
      <c r="I90" s="25">
        <v>3.4502262443438791E-2</v>
      </c>
      <c r="J90" s="25">
        <v>-9.2123445416858463E-3</v>
      </c>
      <c r="K90" s="25">
        <v>4.6299115141412717E-2</v>
      </c>
      <c r="L90" s="25">
        <v>6.0714851393121272E-2</v>
      </c>
      <c r="M90" s="25">
        <v>-3.8458149073896108E-2</v>
      </c>
      <c r="N90" s="25">
        <v>4.5555604137053729E-2</v>
      </c>
      <c r="P90" s="421">
        <v>42886</v>
      </c>
      <c r="Q90" s="25">
        <v>1.4312152201894079E-2</v>
      </c>
      <c r="R90" s="25">
        <v>5.1061471045234619E-2</v>
      </c>
      <c r="S90" s="6"/>
      <c r="T90" s="421">
        <v>42886</v>
      </c>
      <c r="U90" s="25">
        <v>5.5761820000000004E-2</v>
      </c>
      <c r="V90" s="287">
        <v>2.0303300000000003E-2</v>
      </c>
      <c r="W90" s="25">
        <v>3.5363249999999999E-2</v>
      </c>
      <c r="X90" s="25">
        <v>3.344975149774565E-2</v>
      </c>
      <c r="Y90" s="25">
        <v>7.3646900000000001E-2</v>
      </c>
      <c r="Z90" s="25">
        <v>-2.24719E-2</v>
      </c>
      <c r="AA90" s="25">
        <v>2.1491799999999998E-2</v>
      </c>
      <c r="AB90" s="25">
        <v>3.007058E-2</v>
      </c>
      <c r="AC90" s="25">
        <v>1.15239E-2</v>
      </c>
      <c r="AD90" s="6"/>
      <c r="AF90" s="6"/>
      <c r="AH90" s="6"/>
      <c r="AJ90" s="6"/>
      <c r="AL90" s="6"/>
      <c r="AN90" s="6"/>
      <c r="AP90" s="6"/>
      <c r="AR90" s="6"/>
      <c r="AT90" s="6"/>
      <c r="AV90" s="6"/>
      <c r="AX90" s="6"/>
      <c r="AZ90" s="6"/>
      <c r="BB90" s="6"/>
      <c r="BD90" s="6"/>
      <c r="BF90" s="6"/>
      <c r="BH90" s="6"/>
      <c r="BJ90" s="6"/>
      <c r="BL90" s="6"/>
      <c r="BN90" s="6"/>
      <c r="BP90" s="6"/>
      <c r="BR90" s="6"/>
      <c r="BT90" s="6"/>
      <c r="BV90" s="6"/>
      <c r="BX90" s="6"/>
      <c r="BZ90" s="6"/>
      <c r="CB90" s="6"/>
      <c r="CD90" s="6"/>
      <c r="CF90" s="6"/>
      <c r="CH90" s="6"/>
      <c r="CJ90" s="6"/>
      <c r="CL90" s="6"/>
      <c r="CN90" s="6"/>
      <c r="CP90" s="6"/>
      <c r="CR90" s="6"/>
      <c r="CT90" s="6"/>
      <c r="CV90" s="6"/>
      <c r="CX90" s="6"/>
      <c r="CZ90" s="6"/>
      <c r="DB90" s="6"/>
      <c r="DD90" s="6"/>
      <c r="DF90" s="6"/>
      <c r="DH90" s="6"/>
      <c r="DJ90" s="6"/>
      <c r="DL90" s="6"/>
      <c r="DN90" s="6"/>
      <c r="DP90" s="6"/>
      <c r="DR90" s="6"/>
      <c r="DT90" s="6"/>
      <c r="DV90" s="6"/>
      <c r="DX90" s="6"/>
      <c r="DZ90" s="6"/>
      <c r="EB90" s="6"/>
      <c r="ED90" s="6"/>
      <c r="EF90" s="6"/>
      <c r="EH90" s="6"/>
      <c r="EJ90" s="6"/>
      <c r="EL90" s="6"/>
      <c r="EN90" s="6"/>
      <c r="EP90" s="6"/>
      <c r="ER90" s="6"/>
      <c r="ET90" s="6"/>
      <c r="EV90" s="6"/>
      <c r="EX90" s="6"/>
      <c r="EZ90" s="6"/>
      <c r="FB90" s="6"/>
      <c r="FD90" s="6"/>
      <c r="FF90" s="6"/>
    </row>
    <row r="91" spans="5:162">
      <c r="E91" s="421">
        <v>42916</v>
      </c>
      <c r="F91" s="25">
        <v>-5.6645569620253244E-2</v>
      </c>
      <c r="G91" s="25">
        <v>3.6443189055966219E-2</v>
      </c>
      <c r="H91" s="25">
        <v>-4.533135263610133E-2</v>
      </c>
      <c r="I91" s="25">
        <v>-9.322033898305071E-2</v>
      </c>
      <c r="J91" s="25">
        <v>-2.2315202231520281E-2</v>
      </c>
      <c r="K91" s="25">
        <v>2.5161222620775359E-3</v>
      </c>
      <c r="L91" s="25">
        <v>-2.9605474196138237E-3</v>
      </c>
      <c r="M91" s="25">
        <v>7.8651264127442833E-3</v>
      </c>
      <c r="N91" s="25">
        <v>3.1501008373126638E-2</v>
      </c>
      <c r="P91" s="421">
        <v>42916</v>
      </c>
      <c r="Q91" s="25">
        <v>1.8939872218995513E-2</v>
      </c>
      <c r="R91" s="25">
        <v>4.9706206008761633E-3</v>
      </c>
      <c r="S91" s="6"/>
      <c r="T91" s="421">
        <v>42916</v>
      </c>
      <c r="U91" s="25">
        <v>-1.255445E-2</v>
      </c>
      <c r="V91" s="287">
        <v>2.3641999999999999E-3</v>
      </c>
      <c r="W91" s="25">
        <v>1.8810480000000001E-2</v>
      </c>
      <c r="X91" s="25">
        <v>3.3566511785567688E-3</v>
      </c>
      <c r="Y91" s="25">
        <v>1.8595E-3</v>
      </c>
      <c r="Z91" s="25">
        <v>2.46305E-2</v>
      </c>
      <c r="AA91" s="25">
        <v>3.8034000000000002E-3</v>
      </c>
      <c r="AB91" s="25">
        <v>-1.1295949999999999E-2</v>
      </c>
      <c r="AC91" s="25">
        <v>3.1867399999999997E-2</v>
      </c>
      <c r="AD91" s="6"/>
      <c r="AF91" s="6"/>
      <c r="AH91" s="6"/>
      <c r="AJ91" s="6"/>
      <c r="AL91" s="6"/>
      <c r="AN91" s="6"/>
      <c r="AP91" s="6"/>
      <c r="AR91" s="6"/>
      <c r="AT91" s="6"/>
      <c r="AV91" s="6"/>
      <c r="AX91" s="6"/>
      <c r="AZ91" s="6"/>
      <c r="BB91" s="6"/>
      <c r="BD91" s="6"/>
      <c r="BF91" s="6"/>
      <c r="BH91" s="6"/>
      <c r="BJ91" s="6"/>
      <c r="BL91" s="6"/>
      <c r="BN91" s="6"/>
      <c r="BP91" s="6"/>
      <c r="BR91" s="6"/>
      <c r="BT91" s="6"/>
      <c r="BV91" s="6"/>
      <c r="BX91" s="6"/>
      <c r="BZ91" s="6"/>
      <c r="CB91" s="6"/>
      <c r="CD91" s="6"/>
      <c r="CF91" s="6"/>
      <c r="CH91" s="6"/>
      <c r="CJ91" s="6"/>
      <c r="CL91" s="6"/>
      <c r="CN91" s="6"/>
      <c r="CP91" s="6"/>
      <c r="CR91" s="6"/>
      <c r="CT91" s="6"/>
      <c r="CV91" s="6"/>
      <c r="CX91" s="6"/>
      <c r="CZ91" s="6"/>
      <c r="DB91" s="6"/>
      <c r="DD91" s="6"/>
      <c r="DF91" s="6"/>
      <c r="DH91" s="6"/>
      <c r="DJ91" s="6"/>
      <c r="DL91" s="6"/>
      <c r="DN91" s="6"/>
      <c r="DP91" s="6"/>
      <c r="DR91" s="6"/>
      <c r="DT91" s="6"/>
      <c r="DV91" s="6"/>
      <c r="DX91" s="6"/>
      <c r="DZ91" s="6"/>
      <c r="EB91" s="6"/>
      <c r="ED91" s="6"/>
      <c r="EF91" s="6"/>
      <c r="EH91" s="6"/>
      <c r="EJ91" s="6"/>
      <c r="EL91" s="6"/>
      <c r="EN91" s="6"/>
      <c r="EP91" s="6"/>
      <c r="ER91" s="6"/>
      <c r="ET91" s="6"/>
      <c r="EV91" s="6"/>
      <c r="EX91" s="6"/>
      <c r="EZ91" s="6"/>
      <c r="FB91" s="6"/>
      <c r="FD91" s="6"/>
      <c r="FF91" s="6"/>
    </row>
    <row r="92" spans="5:162">
      <c r="E92" s="421">
        <v>42947</v>
      </c>
      <c r="F92" s="25">
        <v>2.9855753102985494E-2</v>
      </c>
      <c r="G92" s="25">
        <v>5.5815320490555154E-2</v>
      </c>
      <c r="H92" s="25">
        <v>2.1811944627744717E-2</v>
      </c>
      <c r="I92" s="25">
        <v>3.5725052758516673E-2</v>
      </c>
      <c r="J92" s="25">
        <v>7.5844032334759781E-2</v>
      </c>
      <c r="K92" s="25">
        <v>7.6436121241533872E-2</v>
      </c>
      <c r="L92" s="25">
        <v>3.5704028448610314E-2</v>
      </c>
      <c r="M92" s="25">
        <v>-5.9549052431438043E-2</v>
      </c>
      <c r="N92" s="25">
        <v>3.2509454514300096E-3</v>
      </c>
      <c r="P92" s="421">
        <v>42947</v>
      </c>
      <c r="Q92" s="25">
        <v>2.0756400406463094E-4</v>
      </c>
      <c r="R92" s="25">
        <v>1.4160454853478388E-2</v>
      </c>
      <c r="S92" s="6"/>
      <c r="T92" s="421">
        <v>42947</v>
      </c>
      <c r="U92" s="25">
        <v>1.3761460000000001E-2</v>
      </c>
      <c r="V92" s="287">
        <v>5.4167500000000007E-2</v>
      </c>
      <c r="W92" s="25">
        <v>1.8612750000000001E-2</v>
      </c>
      <c r="X92" s="25">
        <v>2.1395012413513159E-2</v>
      </c>
      <c r="Y92" s="25">
        <v>-5.0113399999999995E-2</v>
      </c>
      <c r="Z92" s="25">
        <v>4.3269200000000001E-2</v>
      </c>
      <c r="AA92" s="25">
        <v>2.3635799999999998E-2</v>
      </c>
      <c r="AB92" s="25">
        <v>2.5029599999999999E-2</v>
      </c>
      <c r="AC92" s="25">
        <v>5.14861E-2</v>
      </c>
      <c r="AD92" s="6"/>
      <c r="AF92" s="6"/>
      <c r="AH92" s="6"/>
      <c r="AJ92" s="6"/>
      <c r="AL92" s="6"/>
      <c r="AN92" s="6"/>
      <c r="AP92" s="6"/>
      <c r="AR92" s="6"/>
      <c r="AT92" s="6"/>
      <c r="AV92" s="6"/>
      <c r="AX92" s="6"/>
      <c r="AZ92" s="6"/>
      <c r="BB92" s="6"/>
      <c r="BD92" s="6"/>
      <c r="BF92" s="6"/>
      <c r="BH92" s="6"/>
      <c r="BJ92" s="6"/>
      <c r="BL92" s="6"/>
      <c r="BN92" s="6"/>
      <c r="BP92" s="6"/>
      <c r="BR92" s="6"/>
      <c r="BT92" s="6"/>
      <c r="BV92" s="6"/>
      <c r="BX92" s="6"/>
      <c r="BZ92" s="6"/>
      <c r="CB92" s="6"/>
      <c r="CD92" s="6"/>
      <c r="CF92" s="6"/>
      <c r="CH92" s="6"/>
      <c r="CJ92" s="6"/>
      <c r="CL92" s="6"/>
      <c r="CN92" s="6"/>
      <c r="CP92" s="6"/>
      <c r="CR92" s="6"/>
      <c r="CT92" s="6"/>
      <c r="CV92" s="6"/>
      <c r="CX92" s="6"/>
      <c r="CZ92" s="6"/>
      <c r="DB92" s="6"/>
      <c r="DD92" s="6"/>
      <c r="DF92" s="6"/>
      <c r="DH92" s="6"/>
      <c r="DJ92" s="6"/>
      <c r="DL92" s="6"/>
      <c r="DN92" s="6"/>
      <c r="DP92" s="6"/>
      <c r="DR92" s="6"/>
      <c r="DT92" s="6"/>
      <c r="DV92" s="6"/>
      <c r="DX92" s="6"/>
      <c r="DZ92" s="6"/>
      <c r="EB92" s="6"/>
      <c r="ED92" s="6"/>
      <c r="EF92" s="6"/>
      <c r="EH92" s="6"/>
      <c r="EJ92" s="6"/>
      <c r="EL92" s="6"/>
      <c r="EN92" s="6"/>
      <c r="EP92" s="6"/>
      <c r="ER92" s="6"/>
      <c r="ET92" s="6"/>
      <c r="EV92" s="6"/>
      <c r="EX92" s="6"/>
      <c r="EZ92" s="6"/>
      <c r="FB92" s="6"/>
      <c r="FD92" s="6"/>
      <c r="FF92" s="6"/>
    </row>
    <row r="93" spans="5:162">
      <c r="E93" s="421">
        <v>42978</v>
      </c>
      <c r="F93" s="25">
        <v>5.2768729641693879E-2</v>
      </c>
      <c r="G93" s="25">
        <v>-6.5618989776293213E-2</v>
      </c>
      <c r="H93" s="25">
        <v>-7.7802185151403247E-3</v>
      </c>
      <c r="I93" s="25">
        <v>-0.15005093872798714</v>
      </c>
      <c r="J93" s="25">
        <v>-4.198895027624272E-3</v>
      </c>
      <c r="K93" s="25">
        <v>-1.0305405088832487E-2</v>
      </c>
      <c r="L93" s="25">
        <v>5.9184951105119232E-2</v>
      </c>
      <c r="M93" s="25">
        <v>-9.0098801026694542E-4</v>
      </c>
      <c r="N93" s="25">
        <v>3.7245665854910293E-3</v>
      </c>
      <c r="P93" s="421">
        <v>42978</v>
      </c>
      <c r="Q93" s="25">
        <v>2.3391015892386458E-2</v>
      </c>
      <c r="R93" s="25">
        <v>1.434572337729545E-2</v>
      </c>
      <c r="S93" s="6"/>
      <c r="T93" s="421">
        <v>42978</v>
      </c>
      <c r="U93" s="25">
        <v>-6.0414599999999994E-3</v>
      </c>
      <c r="V93" s="287">
        <v>6.4088000000000001E-3</v>
      </c>
      <c r="W93" s="25">
        <v>1.96064E-3</v>
      </c>
      <c r="X93" s="25">
        <v>-2.9575633174585558E-3</v>
      </c>
      <c r="Y93" s="25">
        <v>0.11441599999999999</v>
      </c>
      <c r="Z93" s="25">
        <v>2.7649799999999999E-2</v>
      </c>
      <c r="AA93" s="25">
        <v>1.1555999999999999E-3</v>
      </c>
      <c r="AB93" s="25">
        <v>6.1289800000000009E-3</v>
      </c>
      <c r="AC93" s="25">
        <v>9.6419999999999995E-3</v>
      </c>
      <c r="AD93" s="6"/>
      <c r="AF93" s="6"/>
      <c r="AH93" s="6"/>
      <c r="AJ93" s="6"/>
      <c r="AL93" s="6"/>
      <c r="AN93" s="6"/>
      <c r="AP93" s="6"/>
      <c r="AR93" s="6"/>
      <c r="AT93" s="6"/>
      <c r="AV93" s="6"/>
      <c r="AX93" s="6"/>
      <c r="AZ93" s="6"/>
      <c r="BB93" s="6"/>
      <c r="BD93" s="6"/>
      <c r="BF93" s="6"/>
      <c r="BH93" s="6"/>
      <c r="BJ93" s="6"/>
      <c r="BL93" s="6"/>
      <c r="BN93" s="6"/>
      <c r="BP93" s="6"/>
      <c r="BR93" s="6"/>
      <c r="BT93" s="6"/>
      <c r="BV93" s="6"/>
      <c r="BX93" s="6"/>
      <c r="BZ93" s="6"/>
      <c r="CB93" s="6"/>
      <c r="CD93" s="6"/>
      <c r="CF93" s="6"/>
      <c r="CH93" s="6"/>
      <c r="CJ93" s="6"/>
      <c r="CL93" s="6"/>
      <c r="CN93" s="6"/>
      <c r="CP93" s="6"/>
      <c r="CR93" s="6"/>
      <c r="CT93" s="6"/>
      <c r="CV93" s="6"/>
      <c r="CX93" s="6"/>
      <c r="CZ93" s="6"/>
      <c r="DB93" s="6"/>
      <c r="DD93" s="6"/>
      <c r="DF93" s="6"/>
      <c r="DH93" s="6"/>
      <c r="DJ93" s="6"/>
      <c r="DL93" s="6"/>
      <c r="DN93" s="6"/>
      <c r="DP93" s="6"/>
      <c r="DR93" s="6"/>
      <c r="DT93" s="6"/>
      <c r="DV93" s="6"/>
      <c r="DX93" s="6"/>
      <c r="DZ93" s="6"/>
      <c r="EB93" s="6"/>
      <c r="ED93" s="6"/>
      <c r="EF93" s="6"/>
      <c r="EH93" s="6"/>
      <c r="EJ93" s="6"/>
      <c r="EL93" s="6"/>
      <c r="EN93" s="6"/>
      <c r="EP93" s="6"/>
      <c r="ER93" s="6"/>
      <c r="ET93" s="6"/>
      <c r="EV93" s="6"/>
      <c r="EX93" s="6"/>
      <c r="EZ93" s="6"/>
      <c r="FB93" s="6"/>
      <c r="FD93" s="6"/>
      <c r="FF93" s="6"/>
    </row>
    <row r="94" spans="5:162">
      <c r="E94" s="421">
        <v>43008</v>
      </c>
      <c r="F94" s="25">
        <v>4.5173267326732658E-2</v>
      </c>
      <c r="G94" s="25">
        <v>-1.3162527421932135E-2</v>
      </c>
      <c r="H94" s="25">
        <v>0.1164078729537088</v>
      </c>
      <c r="I94" s="25">
        <v>4.3493150684931425E-2</v>
      </c>
      <c r="J94" s="25">
        <v>7.6786506879715999E-2</v>
      </c>
      <c r="K94" s="25">
        <v>9.2937309353353204E-2</v>
      </c>
      <c r="L94" s="25">
        <v>-3.8540891948283473E-2</v>
      </c>
      <c r="M94" s="25">
        <v>1.4336428781953403E-2</v>
      </c>
      <c r="N94" s="25">
        <v>-1.7828290846498063E-2</v>
      </c>
      <c r="P94" s="421">
        <v>43008</v>
      </c>
      <c r="Q94" s="25">
        <v>-4.8333741915371764E-3</v>
      </c>
      <c r="R94" s="25">
        <v>-2.8165167095115629E-2</v>
      </c>
      <c r="S94" s="6"/>
      <c r="T94" s="421">
        <v>43008</v>
      </c>
      <c r="U94" s="25">
        <v>3.7719710000000004E-2</v>
      </c>
      <c r="V94" s="287">
        <v>-1.4243200000000001E-2</v>
      </c>
      <c r="W94" s="25">
        <v>1.7162E-2</v>
      </c>
      <c r="X94" s="25">
        <v>1.2809107812733478E-2</v>
      </c>
      <c r="Y94" s="25">
        <v>-0.1772842</v>
      </c>
      <c r="Z94" s="25">
        <v>-3.2884900000000002E-2</v>
      </c>
      <c r="AA94" s="25">
        <v>2.24379E-2</v>
      </c>
      <c r="AB94" s="25">
        <v>2.698499E-2</v>
      </c>
      <c r="AC94" s="25">
        <v>4.0790600000000003E-2</v>
      </c>
      <c r="AD94" s="6"/>
      <c r="AF94" s="6"/>
      <c r="AH94" s="6"/>
      <c r="AJ94" s="6"/>
      <c r="AL94" s="6"/>
      <c r="AN94" s="6"/>
      <c r="AP94" s="6"/>
      <c r="AR94" s="6"/>
      <c r="AT94" s="6"/>
      <c r="AV94" s="6"/>
      <c r="AX94" s="6"/>
      <c r="AZ94" s="6"/>
      <c r="BB94" s="6"/>
      <c r="BD94" s="6"/>
      <c r="BF94" s="6"/>
      <c r="BH94" s="6"/>
      <c r="BJ94" s="6"/>
      <c r="BL94" s="6"/>
      <c r="BN94" s="6"/>
      <c r="BP94" s="6"/>
      <c r="BR94" s="6"/>
      <c r="BT94" s="6"/>
      <c r="BV94" s="6"/>
      <c r="BX94" s="6"/>
      <c r="BZ94" s="6"/>
      <c r="CB94" s="6"/>
      <c r="CD94" s="6"/>
      <c r="CF94" s="6"/>
      <c r="CH94" s="6"/>
      <c r="CJ94" s="6"/>
      <c r="CL94" s="6"/>
      <c r="CN94" s="6"/>
      <c r="CP94" s="6"/>
      <c r="CR94" s="6"/>
      <c r="CT94" s="6"/>
      <c r="CV94" s="6"/>
      <c r="CX94" s="6"/>
      <c r="CZ94" s="6"/>
      <c r="DB94" s="6"/>
      <c r="DD94" s="6"/>
      <c r="DF94" s="6"/>
      <c r="DH94" s="6"/>
      <c r="DJ94" s="6"/>
      <c r="DL94" s="6"/>
      <c r="DN94" s="6"/>
      <c r="DP94" s="6"/>
      <c r="DR94" s="6"/>
      <c r="DT94" s="6"/>
      <c r="DV94" s="6"/>
      <c r="DX94" s="6"/>
      <c r="DZ94" s="6"/>
      <c r="EB94" s="6"/>
      <c r="ED94" s="6"/>
      <c r="EF94" s="6"/>
      <c r="EH94" s="6"/>
      <c r="EJ94" s="6"/>
      <c r="EL94" s="6"/>
      <c r="EN94" s="6"/>
      <c r="EP94" s="6"/>
      <c r="ER94" s="6"/>
      <c r="ET94" s="6"/>
      <c r="EV94" s="6"/>
      <c r="EX94" s="6"/>
      <c r="EZ94" s="6"/>
      <c r="FB94" s="6"/>
      <c r="FD94" s="6"/>
      <c r="FF94" s="6"/>
    </row>
    <row r="95" spans="5:162">
      <c r="E95" s="421">
        <v>43039</v>
      </c>
      <c r="F95" s="25">
        <v>1.6281823564239017E-2</v>
      </c>
      <c r="G95" s="25">
        <v>-1.7125449405823723E-2</v>
      </c>
      <c r="H95" s="25">
        <v>5.8013952429915028E-2</v>
      </c>
      <c r="I95" s="25">
        <v>7.5976370200196763E-2</v>
      </c>
      <c r="J95" s="25">
        <v>3.1945589447650358E-2</v>
      </c>
      <c r="K95" s="25">
        <v>-1.3885341729374834E-2</v>
      </c>
      <c r="L95" s="25">
        <v>0.17415211092759209</v>
      </c>
      <c r="M95" s="25">
        <v>6.1895551257253212E-2</v>
      </c>
      <c r="N95" s="25">
        <v>7.2302136851622345E-2</v>
      </c>
      <c r="P95" s="421">
        <v>43039</v>
      </c>
      <c r="Q95" s="25">
        <v>4.4097879044069366E-4</v>
      </c>
      <c r="R95" s="25">
        <v>-9.9194868318774887E-5</v>
      </c>
      <c r="S95" s="6"/>
      <c r="T95" s="421">
        <v>43039</v>
      </c>
      <c r="U95" s="25">
        <v>-5.0646999999999997E-4</v>
      </c>
      <c r="V95" s="287">
        <v>3.74221E-2</v>
      </c>
      <c r="W95" s="25">
        <v>2.6316989999999998E-2</v>
      </c>
      <c r="X95" s="25">
        <v>2.1557837404175384E-2</v>
      </c>
      <c r="Y95" s="25">
        <v>1.5628699999999999E-2</v>
      </c>
      <c r="Z95" s="25">
        <v>-0.1020093</v>
      </c>
      <c r="AA95" s="25">
        <v>1.86038E-2</v>
      </c>
      <c r="AB95" s="25">
        <v>2.221151E-2</v>
      </c>
      <c r="AC95" s="25">
        <v>8.7488399999999994E-2</v>
      </c>
      <c r="AD95" s="6"/>
      <c r="AF95" s="6"/>
      <c r="AH95" s="6"/>
      <c r="AJ95" s="6"/>
      <c r="AL95" s="6"/>
      <c r="AN95" s="6"/>
      <c r="AP95" s="6"/>
      <c r="AR95" s="6"/>
      <c r="AT95" s="6"/>
      <c r="AV95" s="6"/>
      <c r="AX95" s="6"/>
      <c r="AZ95" s="6"/>
      <c r="BB95" s="6"/>
      <c r="BD95" s="6"/>
      <c r="BF95" s="6"/>
      <c r="BH95" s="6"/>
      <c r="BJ95" s="6"/>
      <c r="BL95" s="6"/>
      <c r="BN95" s="6"/>
      <c r="BP95" s="6"/>
      <c r="BR95" s="6"/>
      <c r="BT95" s="6"/>
      <c r="BV95" s="6"/>
      <c r="BX95" s="6"/>
      <c r="BZ95" s="6"/>
      <c r="CB95" s="6"/>
      <c r="CD95" s="6"/>
      <c r="CF95" s="6"/>
      <c r="CH95" s="6"/>
      <c r="CJ95" s="6"/>
      <c r="CL95" s="6"/>
      <c r="CN95" s="6"/>
      <c r="CP95" s="6"/>
      <c r="CR95" s="6"/>
      <c r="CT95" s="6"/>
      <c r="CV95" s="6"/>
      <c r="CX95" s="6"/>
      <c r="CZ95" s="6"/>
      <c r="DB95" s="6"/>
      <c r="DD95" s="6"/>
      <c r="DF95" s="6"/>
      <c r="DH95" s="6"/>
      <c r="DJ95" s="6"/>
      <c r="DL95" s="6"/>
      <c r="DN95" s="6"/>
      <c r="DP95" s="6"/>
      <c r="DR95" s="6"/>
      <c r="DT95" s="6"/>
      <c r="DV95" s="6"/>
      <c r="DX95" s="6"/>
      <c r="DZ95" s="6"/>
      <c r="EB95" s="6"/>
      <c r="ED95" s="6"/>
      <c r="EF95" s="6"/>
      <c r="EH95" s="6"/>
      <c r="EJ95" s="6"/>
      <c r="EL95" s="6"/>
      <c r="EN95" s="6"/>
      <c r="EP95" s="6"/>
      <c r="ER95" s="6"/>
      <c r="ET95" s="6"/>
      <c r="EV95" s="6"/>
      <c r="EX95" s="6"/>
      <c r="EZ95" s="6"/>
      <c r="FB95" s="6"/>
      <c r="FD95" s="6"/>
      <c r="FF95" s="6"/>
    </row>
    <row r="96" spans="5:162">
      <c r="E96" s="421">
        <v>43069</v>
      </c>
      <c r="F96" s="25">
        <v>4.8354209146519223E-2</v>
      </c>
      <c r="G96" s="25">
        <v>-0.27319688381314045</v>
      </c>
      <c r="H96" s="25">
        <v>-8.6684408094191978E-3</v>
      </c>
      <c r="I96" s="25">
        <v>-5.2310507854201549E-2</v>
      </c>
      <c r="J96" s="25">
        <v>2.3167565408428237E-2</v>
      </c>
      <c r="K96" s="25">
        <v>-4.468953114219465E-2</v>
      </c>
      <c r="L96" s="25">
        <v>3.6024157437931414E-2</v>
      </c>
      <c r="M96" s="25">
        <v>9.3892687070662451E-3</v>
      </c>
      <c r="N96" s="25">
        <v>5.5053798805881904E-3</v>
      </c>
      <c r="P96" s="421">
        <v>43069</v>
      </c>
      <c r="Q96" s="25">
        <v>-1.0682182278034635E-2</v>
      </c>
      <c r="R96" s="25">
        <v>3.329971395975595E-2</v>
      </c>
      <c r="S96" s="6"/>
      <c r="T96" s="421">
        <v>43069</v>
      </c>
      <c r="U96" s="25">
        <v>1.7715939999999999E-2</v>
      </c>
      <c r="V96" s="287">
        <v>-4.2030399999999996E-2</v>
      </c>
      <c r="W96" s="25">
        <v>2.8324680000000001E-2</v>
      </c>
      <c r="X96" s="25">
        <v>1.8130012740723345E-2</v>
      </c>
      <c r="Y96" s="25">
        <v>-4.2667299999999998E-2</v>
      </c>
      <c r="Z96" s="25">
        <v>-2.7538699999999999E-2</v>
      </c>
      <c r="AA96" s="25">
        <v>2.1700400000000002E-2</v>
      </c>
      <c r="AB96" s="25">
        <v>-4.6288000000000004E-4</v>
      </c>
      <c r="AC96" s="25">
        <v>8.2739199999999999E-2</v>
      </c>
      <c r="AD96" s="6"/>
      <c r="AF96" s="6"/>
      <c r="AH96" s="6"/>
      <c r="AJ96" s="6"/>
      <c r="AL96" s="6"/>
      <c r="AN96" s="6"/>
      <c r="AP96" s="6"/>
      <c r="AR96" s="6"/>
      <c r="AT96" s="6"/>
      <c r="AV96" s="6"/>
      <c r="AX96" s="6"/>
      <c r="AZ96" s="6"/>
      <c r="BB96" s="6"/>
      <c r="BD96" s="6"/>
      <c r="BF96" s="6"/>
      <c r="BH96" s="6"/>
      <c r="BJ96" s="6"/>
      <c r="BL96" s="6"/>
      <c r="BN96" s="6"/>
      <c r="BP96" s="6"/>
      <c r="BR96" s="6"/>
      <c r="BT96" s="6"/>
      <c r="BV96" s="6"/>
      <c r="BX96" s="6"/>
      <c r="BZ96" s="6"/>
      <c r="CB96" s="6"/>
      <c r="CD96" s="6"/>
      <c r="CF96" s="6"/>
      <c r="CH96" s="6"/>
      <c r="CJ96" s="6"/>
      <c r="CL96" s="6"/>
      <c r="CN96" s="6"/>
      <c r="CP96" s="6"/>
      <c r="CR96" s="6"/>
      <c r="CT96" s="6"/>
      <c r="CV96" s="6"/>
      <c r="CX96" s="6"/>
      <c r="CZ96" s="6"/>
      <c r="DB96" s="6"/>
      <c r="DD96" s="6"/>
      <c r="DF96" s="6"/>
      <c r="DH96" s="6"/>
      <c r="DJ96" s="6"/>
      <c r="DL96" s="6"/>
      <c r="DN96" s="6"/>
      <c r="DP96" s="6"/>
      <c r="DR96" s="6"/>
      <c r="DT96" s="6"/>
      <c r="DV96" s="6"/>
      <c r="DX96" s="6"/>
      <c r="DZ96" s="6"/>
      <c r="EB96" s="6"/>
      <c r="ED96" s="6"/>
      <c r="EF96" s="6"/>
      <c r="EH96" s="6"/>
      <c r="EJ96" s="6"/>
      <c r="EL96" s="6"/>
      <c r="EN96" s="6"/>
      <c r="EP96" s="6"/>
      <c r="ER96" s="6"/>
      <c r="ET96" s="6"/>
      <c r="EV96" s="6"/>
      <c r="EX96" s="6"/>
      <c r="EZ96" s="6"/>
      <c r="FB96" s="6"/>
      <c r="FD96" s="6"/>
      <c r="FF96" s="6"/>
    </row>
    <row r="97" spans="5:162">
      <c r="E97" s="421">
        <v>43100</v>
      </c>
      <c r="F97" s="25">
        <v>1.9449847179773272E-3</v>
      </c>
      <c r="G97" s="25">
        <v>7.8604633293633874E-2</v>
      </c>
      <c r="H97" s="25">
        <v>6.7987273362174472E-2</v>
      </c>
      <c r="I97" s="25">
        <v>7.9497907949790836E-2</v>
      </c>
      <c r="J97" s="25">
        <v>1.7177435096623173E-2</v>
      </c>
      <c r="K97" s="25">
        <v>-2.6442724780511573E-2</v>
      </c>
      <c r="L97" s="25">
        <v>-3.4330657035582912E-2</v>
      </c>
      <c r="M97" s="25">
        <v>-3.5726857452672567E-3</v>
      </c>
      <c r="N97" s="25">
        <v>2.798231110505256E-3</v>
      </c>
      <c r="P97" s="421">
        <v>43100</v>
      </c>
      <c r="Q97" s="25">
        <v>4.4861650970218214E-4</v>
      </c>
      <c r="R97" s="25">
        <v>1.5125210016801338E-2</v>
      </c>
      <c r="S97" s="6"/>
      <c r="T97" s="421">
        <v>43100</v>
      </c>
      <c r="U97" s="25">
        <v>1.413118E-2</v>
      </c>
      <c r="V97" s="287">
        <v>5.5143199999999996E-2</v>
      </c>
      <c r="W97" s="25">
        <v>1.1726760000000001E-2</v>
      </c>
      <c r="X97" s="25">
        <v>1.0134255268672065E-2</v>
      </c>
      <c r="Y97" s="25">
        <v>-9.7418400000000002E-2</v>
      </c>
      <c r="Z97" s="25">
        <v>7.7088900000000002E-2</v>
      </c>
      <c r="AA97" s="25">
        <v>1.3600399999999999E-2</v>
      </c>
      <c r="AB97" s="25">
        <v>1.0799240000000002E-2</v>
      </c>
      <c r="AC97" s="25">
        <v>3.5520099999999999E-2</v>
      </c>
      <c r="AD97" s="6"/>
      <c r="AF97" s="6"/>
      <c r="AH97" s="6"/>
      <c r="AJ97" s="6"/>
      <c r="AL97" s="6"/>
      <c r="AN97" s="6"/>
      <c r="AP97" s="6"/>
      <c r="AR97" s="6"/>
      <c r="AT97" s="6"/>
      <c r="AV97" s="6"/>
      <c r="AX97" s="6"/>
      <c r="AZ97" s="6"/>
      <c r="BB97" s="6"/>
      <c r="BD97" s="6"/>
      <c r="BF97" s="6"/>
      <c r="BH97" s="6"/>
      <c r="BJ97" s="6"/>
      <c r="BL97" s="6"/>
      <c r="BN97" s="6"/>
      <c r="BP97" s="6"/>
      <c r="BR97" s="6"/>
      <c r="BT97" s="6"/>
      <c r="BV97" s="6"/>
      <c r="BX97" s="6"/>
      <c r="BZ97" s="6"/>
      <c r="CB97" s="6"/>
      <c r="CD97" s="6"/>
      <c r="CF97" s="6"/>
      <c r="CH97" s="6"/>
      <c r="CJ97" s="6"/>
      <c r="CL97" s="6"/>
      <c r="CN97" s="6"/>
      <c r="CP97" s="6"/>
      <c r="CR97" s="6"/>
      <c r="CT97" s="6"/>
      <c r="CV97" s="6"/>
      <c r="CX97" s="6"/>
      <c r="CZ97" s="6"/>
      <c r="DB97" s="6"/>
      <c r="DD97" s="6"/>
      <c r="DF97" s="6"/>
      <c r="DH97" s="6"/>
      <c r="DJ97" s="6"/>
      <c r="DL97" s="6"/>
      <c r="DN97" s="6"/>
      <c r="DP97" s="6"/>
      <c r="DR97" s="6"/>
      <c r="DT97" s="6"/>
      <c r="DV97" s="6"/>
      <c r="DX97" s="6"/>
      <c r="DZ97" s="6"/>
      <c r="EB97" s="6"/>
      <c r="ED97" s="6"/>
      <c r="EF97" s="6"/>
      <c r="EH97" s="6"/>
      <c r="EJ97" s="6"/>
      <c r="EL97" s="6"/>
      <c r="EN97" s="6"/>
      <c r="EP97" s="6"/>
      <c r="ER97" s="6"/>
      <c r="ET97" s="6"/>
      <c r="EV97" s="6"/>
      <c r="EX97" s="6"/>
      <c r="EZ97" s="6"/>
      <c r="FB97" s="6"/>
      <c r="FD97" s="6"/>
      <c r="FF97" s="6"/>
    </row>
    <row r="98" spans="5:162">
      <c r="E98" s="421">
        <v>43131</v>
      </c>
      <c r="F98" s="25">
        <v>0.12423738214087621</v>
      </c>
      <c r="G98" s="25">
        <v>-1.0080142475511922E-2</v>
      </c>
      <c r="H98" s="25">
        <v>7.7876797971709877E-3</v>
      </c>
      <c r="I98" s="25">
        <v>-7.1705426356589053E-2</v>
      </c>
      <c r="J98" s="25">
        <v>7.0236039147956397E-2</v>
      </c>
      <c r="K98" s="25">
        <v>8.0912493316699363E-2</v>
      </c>
      <c r="L98" s="25">
        <v>0.13992235422960264</v>
      </c>
      <c r="M98" s="25">
        <v>6.7007755715271955E-2</v>
      </c>
      <c r="N98" s="25">
        <v>-1.0949959799598896E-2</v>
      </c>
      <c r="P98" s="421">
        <v>43131</v>
      </c>
      <c r="Q98" s="25">
        <v>-1.8213034144064166E-2</v>
      </c>
      <c r="R98" s="25">
        <v>-2.457430416809514E-2</v>
      </c>
      <c r="S98" s="6"/>
      <c r="T98" s="421">
        <v>43131</v>
      </c>
      <c r="U98" s="25">
        <v>3.439963E-2</v>
      </c>
      <c r="V98" s="287">
        <v>3.00646E-2</v>
      </c>
      <c r="W98" s="25">
        <v>6.6522869999999998E-2</v>
      </c>
      <c r="X98" s="25">
        <v>4.8396251374693167E-2</v>
      </c>
      <c r="Y98" s="25">
        <v>-6.7727999999999997E-2</v>
      </c>
      <c r="Z98" s="25">
        <v>1.49254E-2</v>
      </c>
      <c r="AA98" s="25">
        <v>5.2538600000000005E-2</v>
      </c>
      <c r="AB98" s="25">
        <v>6.99713E-2</v>
      </c>
      <c r="AC98" s="25">
        <v>0.1166725</v>
      </c>
      <c r="AD98" s="6"/>
      <c r="AF98" s="6"/>
      <c r="AH98" s="6"/>
      <c r="AJ98" s="6"/>
      <c r="AL98" s="6"/>
      <c r="AN98" s="6"/>
      <c r="AP98" s="6"/>
      <c r="AR98" s="6"/>
      <c r="AT98" s="6"/>
      <c r="AV98" s="6"/>
      <c r="AX98" s="6"/>
      <c r="AZ98" s="6"/>
      <c r="BB98" s="6"/>
      <c r="BD98" s="6"/>
      <c r="BF98" s="6"/>
      <c r="BH98" s="6"/>
      <c r="BJ98" s="6"/>
      <c r="BL98" s="6"/>
      <c r="BN98" s="6"/>
      <c r="BP98" s="6"/>
      <c r="BR98" s="6"/>
      <c r="BT98" s="6"/>
      <c r="BV98" s="6"/>
      <c r="BX98" s="6"/>
      <c r="BZ98" s="6"/>
      <c r="CB98" s="6"/>
      <c r="CD98" s="6"/>
      <c r="CF98" s="6"/>
      <c r="CH98" s="6"/>
      <c r="CJ98" s="6"/>
      <c r="CL98" s="6"/>
      <c r="CN98" s="6"/>
      <c r="CP98" s="6"/>
      <c r="CR98" s="6"/>
      <c r="CT98" s="6"/>
      <c r="CV98" s="6"/>
      <c r="CX98" s="6"/>
      <c r="CZ98" s="6"/>
      <c r="DB98" s="6"/>
      <c r="DD98" s="6"/>
      <c r="DF98" s="6"/>
      <c r="DH98" s="6"/>
      <c r="DJ98" s="6"/>
      <c r="DL98" s="6"/>
      <c r="DN98" s="6"/>
      <c r="DP98" s="6"/>
      <c r="DR98" s="6"/>
      <c r="DT98" s="6"/>
      <c r="DV98" s="6"/>
      <c r="DX98" s="6"/>
      <c r="DZ98" s="6"/>
      <c r="EB98" s="6"/>
      <c r="ED98" s="6"/>
      <c r="EF98" s="6"/>
      <c r="EH98" s="6"/>
      <c r="EJ98" s="6"/>
      <c r="EL98" s="6"/>
      <c r="EN98" s="6"/>
      <c r="EP98" s="6"/>
      <c r="ER98" s="6"/>
      <c r="ET98" s="6"/>
      <c r="EV98" s="6"/>
      <c r="EX98" s="6"/>
      <c r="EZ98" s="6"/>
      <c r="FB98" s="6"/>
      <c r="FD98" s="6"/>
      <c r="FF98" s="6"/>
    </row>
    <row r="99" spans="5:162">
      <c r="E99" s="421">
        <v>43159</v>
      </c>
      <c r="F99" s="25">
        <v>-1.9733596447951696E-3</v>
      </c>
      <c r="G99" s="25">
        <v>6.1420552677029283E-2</v>
      </c>
      <c r="H99" s="25">
        <v>-6.723695649277206E-2</v>
      </c>
      <c r="I99" s="25">
        <v>-9.6033402922755751E-2</v>
      </c>
      <c r="J99" s="25">
        <v>-1.0399856553702791E-2</v>
      </c>
      <c r="K99" s="25">
        <v>-6.0587386644682661E-2</v>
      </c>
      <c r="L99" s="25">
        <v>4.6905633120877477E-2</v>
      </c>
      <c r="M99" s="25">
        <v>-3.8402112858295312E-2</v>
      </c>
      <c r="N99" s="25">
        <v>-5.4156830752852381E-2</v>
      </c>
      <c r="P99" s="421">
        <v>43159</v>
      </c>
      <c r="Q99" s="25">
        <v>-9.4631500245572209E-3</v>
      </c>
      <c r="R99" s="25">
        <v>-1.0503989496010502E-2</v>
      </c>
      <c r="S99" s="6"/>
      <c r="T99" s="421">
        <v>43159</v>
      </c>
      <c r="U99" s="25">
        <v>-4.6448570000000002E-2</v>
      </c>
      <c r="V99" s="287">
        <v>-2.2357599999999998E-2</v>
      </c>
      <c r="W99" s="25">
        <v>-4.1429790000000001E-2</v>
      </c>
      <c r="X99" s="25">
        <v>-4.3863860817563098E-2</v>
      </c>
      <c r="Y99" s="25">
        <v>0.22836469999999998</v>
      </c>
      <c r="Z99" s="25">
        <v>-0.1323529</v>
      </c>
      <c r="AA99" s="25">
        <v>-4.1671800000000002E-2</v>
      </c>
      <c r="AB99" s="25">
        <v>-5.0419390000000001E-2</v>
      </c>
      <c r="AC99" s="25">
        <v>-8.6459100000000011E-2</v>
      </c>
      <c r="AD99" s="6"/>
      <c r="AF99" s="6"/>
      <c r="AH99" s="6"/>
      <c r="AJ99" s="6"/>
      <c r="AL99" s="6"/>
      <c r="AN99" s="6"/>
      <c r="AP99" s="6"/>
      <c r="AR99" s="6"/>
      <c r="AT99" s="6"/>
      <c r="AV99" s="6"/>
      <c r="AX99" s="6"/>
      <c r="AZ99" s="6"/>
      <c r="BB99" s="6"/>
      <c r="BD99" s="6"/>
      <c r="BF99" s="6"/>
      <c r="BH99" s="6"/>
      <c r="BJ99" s="6"/>
      <c r="BL99" s="6"/>
      <c r="BN99" s="6"/>
      <c r="BP99" s="6"/>
      <c r="BR99" s="6"/>
      <c r="BT99" s="6"/>
      <c r="BV99" s="6"/>
      <c r="BX99" s="6"/>
      <c r="BZ99" s="6"/>
      <c r="CB99" s="6"/>
      <c r="CD99" s="6"/>
      <c r="CF99" s="6"/>
      <c r="CH99" s="6"/>
      <c r="CJ99" s="6"/>
      <c r="CL99" s="6"/>
      <c r="CN99" s="6"/>
      <c r="CP99" s="6"/>
      <c r="CR99" s="6"/>
      <c r="CT99" s="6"/>
      <c r="CV99" s="6"/>
      <c r="CX99" s="6"/>
      <c r="CZ99" s="6"/>
      <c r="DB99" s="6"/>
      <c r="DD99" s="6"/>
      <c r="DF99" s="6"/>
      <c r="DH99" s="6"/>
      <c r="DJ99" s="6"/>
      <c r="DL99" s="6"/>
      <c r="DN99" s="6"/>
      <c r="DP99" s="6"/>
      <c r="DR99" s="6"/>
      <c r="DT99" s="6"/>
      <c r="DV99" s="6"/>
      <c r="DX99" s="6"/>
      <c r="DZ99" s="6"/>
      <c r="EB99" s="6"/>
      <c r="ED99" s="6"/>
      <c r="EF99" s="6"/>
      <c r="EH99" s="6"/>
      <c r="EJ99" s="6"/>
      <c r="EL99" s="6"/>
      <c r="EN99" s="6"/>
      <c r="EP99" s="6"/>
      <c r="ER99" s="6"/>
      <c r="ET99" s="6"/>
      <c r="EV99" s="6"/>
      <c r="EX99" s="6"/>
      <c r="EZ99" s="6"/>
      <c r="FB99" s="6"/>
      <c r="FD99" s="6"/>
      <c r="FF99" s="6"/>
    </row>
    <row r="100" spans="5:162">
      <c r="E100" s="421">
        <v>43190</v>
      </c>
      <c r="F100" s="25">
        <v>-2.6693030153237762E-2</v>
      </c>
      <c r="G100" s="25">
        <v>-2.4102511949557703E-2</v>
      </c>
      <c r="H100" s="25">
        <v>2.6893246689100536E-2</v>
      </c>
      <c r="I100" s="25">
        <v>-0.11742760703499733</v>
      </c>
      <c r="J100" s="25">
        <v>-3.6963217974270712E-2</v>
      </c>
      <c r="K100" s="25">
        <v>-3.3413558050296999E-3</v>
      </c>
      <c r="L100" s="25">
        <v>3.3233482313783869E-2</v>
      </c>
      <c r="M100" s="25">
        <v>-1.5402820156640185E-2</v>
      </c>
      <c r="N100" s="25">
        <v>-1.3320018412516732E-2</v>
      </c>
      <c r="P100" s="421">
        <v>43190</v>
      </c>
      <c r="Q100" s="25">
        <v>1.4410869263128623E-2</v>
      </c>
      <c r="R100" s="25">
        <v>1.7495151577013424E-2</v>
      </c>
      <c r="S100" s="6"/>
      <c r="T100" s="421">
        <v>43190</v>
      </c>
      <c r="U100" s="25">
        <v>-1.3850979999999999E-2</v>
      </c>
      <c r="V100" s="287">
        <v>1.1232200000000001E-2</v>
      </c>
      <c r="W100" s="25">
        <v>-1.516962E-2</v>
      </c>
      <c r="X100" s="25">
        <v>-1.7597906901057891E-2</v>
      </c>
      <c r="Y100" s="25">
        <v>-4.7832199999999998E-2</v>
      </c>
      <c r="Z100" s="25">
        <v>4.1162200000000003E-2</v>
      </c>
      <c r="AA100" s="25">
        <v>-2.2570800000000002E-2</v>
      </c>
      <c r="AB100" s="25">
        <v>-2.0855470000000001E-2</v>
      </c>
      <c r="AC100" s="25">
        <v>-7.6456799999999991E-2</v>
      </c>
      <c r="AD100" s="6"/>
      <c r="AF100" s="6"/>
      <c r="AH100" s="6"/>
      <c r="AJ100" s="6"/>
      <c r="AL100" s="6"/>
      <c r="AN100" s="6"/>
      <c r="AP100" s="6"/>
      <c r="AR100" s="6"/>
      <c r="AT100" s="6"/>
      <c r="AV100" s="6"/>
      <c r="AX100" s="6"/>
      <c r="AZ100" s="6"/>
      <c r="BB100" s="6"/>
      <c r="BD100" s="6"/>
      <c r="BF100" s="6"/>
      <c r="BH100" s="6"/>
      <c r="BJ100" s="6"/>
      <c r="BL100" s="6"/>
      <c r="BN100" s="6"/>
      <c r="BP100" s="6"/>
      <c r="BR100" s="6"/>
      <c r="BT100" s="6"/>
      <c r="BV100" s="6"/>
      <c r="BX100" s="6"/>
      <c r="BZ100" s="6"/>
      <c r="CB100" s="6"/>
      <c r="CD100" s="6"/>
      <c r="CF100" s="6"/>
      <c r="CH100" s="6"/>
      <c r="CJ100" s="6"/>
      <c r="CL100" s="6"/>
      <c r="CN100" s="6"/>
      <c r="CP100" s="6"/>
      <c r="CR100" s="6"/>
      <c r="CT100" s="6"/>
      <c r="CV100" s="6"/>
      <c r="CX100" s="6"/>
      <c r="CZ100" s="6"/>
      <c r="DB100" s="6"/>
      <c r="DD100" s="6"/>
      <c r="DF100" s="6"/>
      <c r="DH100" s="6"/>
      <c r="DJ100" s="6"/>
      <c r="DL100" s="6"/>
      <c r="DN100" s="6"/>
      <c r="DP100" s="6"/>
      <c r="DR100" s="6"/>
      <c r="DT100" s="6"/>
      <c r="DV100" s="6"/>
      <c r="DX100" s="6"/>
      <c r="DZ100" s="6"/>
      <c r="EB100" s="6"/>
      <c r="ED100" s="6"/>
      <c r="EF100" s="6"/>
      <c r="EH100" s="6"/>
      <c r="EJ100" s="6"/>
      <c r="EL100" s="6"/>
      <c r="EN100" s="6"/>
      <c r="EP100" s="6"/>
      <c r="ER100" s="6"/>
      <c r="ET100" s="6"/>
      <c r="EV100" s="6"/>
      <c r="EX100" s="6"/>
      <c r="EZ100" s="6"/>
      <c r="FB100" s="6"/>
      <c r="FD100" s="6"/>
      <c r="FF100" s="6"/>
    </row>
    <row r="101" spans="5:162">
      <c r="E101" s="421">
        <v>43220</v>
      </c>
      <c r="F101" s="25">
        <v>-6.3737938039614139E-2</v>
      </c>
      <c r="G101" s="25">
        <v>-6.4853411143532047E-2</v>
      </c>
      <c r="H101" s="25">
        <v>0.10222149668375291</v>
      </c>
      <c r="I101" s="25">
        <v>1.791465378421897E-2</v>
      </c>
      <c r="J101" s="25">
        <v>2.2577610536218318E-2</v>
      </c>
      <c r="K101" s="25">
        <v>0.10992779783393503</v>
      </c>
      <c r="L101" s="25">
        <v>2.554581057746752E-2</v>
      </c>
      <c r="M101" s="25">
        <v>-5.520340529525003E-2</v>
      </c>
      <c r="N101" s="25">
        <v>-1.2953488336048369E-2</v>
      </c>
      <c r="P101" s="421">
        <v>43220</v>
      </c>
      <c r="Q101" s="25">
        <v>1.634500730076871E-3</v>
      </c>
      <c r="R101" s="25">
        <v>-2.466594438425429E-2</v>
      </c>
      <c r="S101" s="6"/>
      <c r="T101" s="421">
        <v>43220</v>
      </c>
      <c r="U101" s="25">
        <v>1.663104E-2</v>
      </c>
      <c r="V101" s="287">
        <v>4.26302E-2</v>
      </c>
      <c r="W101" s="25">
        <v>3.3060099999999999E-3</v>
      </c>
      <c r="X101" s="25">
        <v>5.2729901766443987E-3</v>
      </c>
      <c r="Y101" s="25">
        <v>-0.17272950000000001</v>
      </c>
      <c r="Z101" s="25">
        <v>-2.0930199999999999E-2</v>
      </c>
      <c r="AA101" s="25">
        <v>1.2003999999999999E-2</v>
      </c>
      <c r="AB101" s="25">
        <v>7.6648000000000003E-3</v>
      </c>
      <c r="AC101" s="25">
        <v>4.9540000000000001E-4</v>
      </c>
      <c r="AD101" s="6"/>
      <c r="AF101" s="6"/>
      <c r="AH101" s="6"/>
      <c r="AJ101" s="6"/>
      <c r="AL101" s="6"/>
      <c r="AN101" s="6"/>
      <c r="AP101" s="6"/>
      <c r="AR101" s="6"/>
      <c r="AT101" s="6"/>
      <c r="AV101" s="6"/>
      <c r="AX101" s="6"/>
      <c r="AZ101" s="6"/>
      <c r="BB101" s="6"/>
      <c r="BD101" s="6"/>
      <c r="BF101" s="6"/>
      <c r="BH101" s="6"/>
      <c r="BJ101" s="6"/>
      <c r="BL101" s="6"/>
      <c r="BN101" s="6"/>
      <c r="BP101" s="6"/>
      <c r="BR101" s="6"/>
      <c r="BT101" s="6"/>
      <c r="BV101" s="6"/>
      <c r="BX101" s="6"/>
      <c r="BZ101" s="6"/>
      <c r="CB101" s="6"/>
      <c r="CD101" s="6"/>
      <c r="CF101" s="6"/>
      <c r="CH101" s="6"/>
      <c r="CJ101" s="6"/>
      <c r="CL101" s="6"/>
      <c r="CN101" s="6"/>
      <c r="CP101" s="6"/>
      <c r="CR101" s="6"/>
      <c r="CT101" s="6"/>
      <c r="CV101" s="6"/>
      <c r="CX101" s="6"/>
      <c r="CZ101" s="6"/>
      <c r="DB101" s="6"/>
      <c r="DD101" s="6"/>
      <c r="DF101" s="6"/>
      <c r="DH101" s="6"/>
      <c r="DJ101" s="6"/>
      <c r="DL101" s="6"/>
      <c r="DN101" s="6"/>
      <c r="DP101" s="6"/>
      <c r="DR101" s="6"/>
      <c r="DT101" s="6"/>
      <c r="DV101" s="6"/>
      <c r="DX101" s="6"/>
      <c r="DZ101" s="6"/>
      <c r="EB101" s="6"/>
      <c r="ED101" s="6"/>
      <c r="EF101" s="6"/>
      <c r="EH101" s="6"/>
      <c r="EJ101" s="6"/>
      <c r="EL101" s="6"/>
      <c r="EN101" s="6"/>
      <c r="EP101" s="6"/>
      <c r="ER101" s="6"/>
      <c r="ET101" s="6"/>
      <c r="EV101" s="6"/>
      <c r="EX101" s="6"/>
      <c r="EZ101" s="6"/>
      <c r="FB101" s="6"/>
      <c r="FD101" s="6"/>
      <c r="FF101" s="6"/>
    </row>
    <row r="102" spans="5:162">
      <c r="E102" s="421">
        <v>43251</v>
      </c>
      <c r="F102" s="25">
        <v>3.7971250339028373E-3</v>
      </c>
      <c r="G102" s="25">
        <v>8.8778277181384979E-3</v>
      </c>
      <c r="H102" s="25">
        <v>4.8527200966163031E-2</v>
      </c>
      <c r="I102" s="25">
        <v>-0.17935534902115879</v>
      </c>
      <c r="J102" s="25">
        <v>-2.9438822447102164E-2</v>
      </c>
      <c r="K102" s="25">
        <v>-1.7274274222657704E-2</v>
      </c>
      <c r="L102" s="25">
        <v>0.12490943484625139</v>
      </c>
      <c r="M102" s="25">
        <v>-1.4447682457297217E-2</v>
      </c>
      <c r="N102" s="25">
        <v>-4.7305779907055978E-2</v>
      </c>
      <c r="P102" s="421">
        <v>43251</v>
      </c>
      <c r="Q102" s="25">
        <v>1.2725193022590675E-2</v>
      </c>
      <c r="R102" s="25">
        <v>1.5835400698584357E-2</v>
      </c>
      <c r="S102" s="6"/>
      <c r="T102" s="421">
        <v>43251</v>
      </c>
      <c r="U102" s="25">
        <v>-1.2281770000000001E-2</v>
      </c>
      <c r="V102" s="287">
        <v>-1.7368700000000001E-2</v>
      </c>
      <c r="W102" s="25">
        <v>6.7276800000000006E-3</v>
      </c>
      <c r="X102" s="25">
        <v>-1.1371617884547658E-2</v>
      </c>
      <c r="Y102" s="25">
        <v>-7.1791800000000003E-2</v>
      </c>
      <c r="Z102" s="25">
        <v>-3.8004799999999998E-2</v>
      </c>
      <c r="AA102" s="25">
        <v>6.2588000000000001E-3</v>
      </c>
      <c r="AB102" s="25">
        <v>2.0161200000000001E-2</v>
      </c>
      <c r="AC102" s="25">
        <v>2.3332099999999998E-2</v>
      </c>
      <c r="AD102" s="6"/>
      <c r="AF102" s="6"/>
      <c r="AH102" s="6"/>
      <c r="AJ102" s="6"/>
      <c r="AL102" s="6"/>
      <c r="AN102" s="6"/>
      <c r="AP102" s="6"/>
      <c r="AR102" s="6"/>
      <c r="AT102" s="6"/>
      <c r="AV102" s="6"/>
      <c r="AX102" s="6"/>
      <c r="AZ102" s="6"/>
      <c r="BB102" s="6"/>
      <c r="BD102" s="6"/>
      <c r="BF102" s="6"/>
      <c r="BH102" s="6"/>
      <c r="BJ102" s="6"/>
      <c r="BL102" s="6"/>
      <c r="BN102" s="6"/>
      <c r="BP102" s="6"/>
      <c r="BR102" s="6"/>
      <c r="BT102" s="6"/>
      <c r="BV102" s="6"/>
      <c r="BX102" s="6"/>
      <c r="BZ102" s="6"/>
      <c r="CB102" s="6"/>
      <c r="CD102" s="6"/>
      <c r="CF102" s="6"/>
      <c r="CH102" s="6"/>
      <c r="CJ102" s="6"/>
      <c r="CL102" s="6"/>
      <c r="CN102" s="6"/>
      <c r="CP102" s="6"/>
      <c r="CR102" s="6"/>
      <c r="CT102" s="6"/>
      <c r="CV102" s="6"/>
      <c r="CX102" s="6"/>
      <c r="CZ102" s="6"/>
      <c r="DB102" s="6"/>
      <c r="DD102" s="6"/>
      <c r="DF102" s="6"/>
      <c r="DH102" s="6"/>
      <c r="DJ102" s="6"/>
      <c r="DL102" s="6"/>
      <c r="DN102" s="6"/>
      <c r="DP102" s="6"/>
      <c r="DR102" s="6"/>
      <c r="DT102" s="6"/>
      <c r="DV102" s="6"/>
      <c r="DX102" s="6"/>
      <c r="DZ102" s="6"/>
      <c r="EB102" s="6"/>
      <c r="ED102" s="6"/>
      <c r="EF102" s="6"/>
      <c r="EH102" s="6"/>
      <c r="EJ102" s="6"/>
      <c r="EL102" s="6"/>
      <c r="EN102" s="6"/>
      <c r="EP102" s="6"/>
      <c r="ER102" s="6"/>
      <c r="ET102" s="6"/>
      <c r="EV102" s="6"/>
      <c r="EX102" s="6"/>
      <c r="EZ102" s="6"/>
      <c r="FB102" s="6"/>
      <c r="FD102" s="6"/>
      <c r="FF102" s="6"/>
    </row>
    <row r="103" spans="5:162">
      <c r="E103" s="421">
        <v>43281</v>
      </c>
      <c r="F103" s="25">
        <v>-3.3234261010537614E-2</v>
      </c>
      <c r="G103" s="25">
        <v>-5.4602356406480257E-2</v>
      </c>
      <c r="H103" s="25">
        <v>-4.3716058274216874E-3</v>
      </c>
      <c r="I103" s="25">
        <v>-6.0963855421686808E-2</v>
      </c>
      <c r="J103" s="25">
        <v>1.6303317535544926E-2</v>
      </c>
      <c r="K103" s="25">
        <v>4.0344454579946287E-2</v>
      </c>
      <c r="L103" s="25">
        <v>-2.1943182861892563E-2</v>
      </c>
      <c r="M103" s="25">
        <v>-1.1391743899438533E-2</v>
      </c>
      <c r="N103" s="25">
        <v>1.4378380427535697E-2</v>
      </c>
      <c r="P103" s="421">
        <v>43281</v>
      </c>
      <c r="Q103" s="25">
        <v>-2.283483417122445E-2</v>
      </c>
      <c r="R103" s="25">
        <v>4.1674766718506895E-3</v>
      </c>
      <c r="S103" s="6"/>
      <c r="T103" s="421">
        <v>43281</v>
      </c>
      <c r="U103" s="25">
        <v>-7.9692800000000005E-3</v>
      </c>
      <c r="V103" s="287">
        <v>-8.6986100000000011E-2</v>
      </c>
      <c r="W103" s="25">
        <v>3.2868199999999998E-3</v>
      </c>
      <c r="X103" s="25">
        <v>-6.7762416987113827E-3</v>
      </c>
      <c r="Y103" s="25">
        <v>-1.9658399999999999E-2</v>
      </c>
      <c r="Z103" s="25">
        <v>-6.1728399999999996E-2</v>
      </c>
      <c r="AA103" s="25">
        <v>-9.9909999999999994E-4</v>
      </c>
      <c r="AB103" s="25">
        <v>1.6189999999999999E-5</v>
      </c>
      <c r="AC103" s="25">
        <v>-1.47566E-2</v>
      </c>
      <c r="AD103" s="6"/>
      <c r="AF103" s="6"/>
      <c r="AH103" s="6"/>
      <c r="AJ103" s="6"/>
      <c r="AL103" s="6"/>
      <c r="AN103" s="6"/>
      <c r="AP103" s="6"/>
      <c r="AR103" s="6"/>
      <c r="AT103" s="6"/>
      <c r="AV103" s="6"/>
      <c r="AX103" s="6"/>
      <c r="AZ103" s="6"/>
      <c r="BB103" s="6"/>
      <c r="BD103" s="6"/>
      <c r="BF103" s="6"/>
      <c r="BH103" s="6"/>
      <c r="BJ103" s="6"/>
      <c r="BL103" s="6"/>
      <c r="BN103" s="6"/>
      <c r="BP103" s="6"/>
      <c r="BR103" s="6"/>
      <c r="BT103" s="6"/>
      <c r="BV103" s="6"/>
      <c r="BX103" s="6"/>
      <c r="BZ103" s="6"/>
      <c r="CB103" s="6"/>
      <c r="CD103" s="6"/>
      <c r="CF103" s="6"/>
      <c r="CH103" s="6"/>
      <c r="CJ103" s="6"/>
      <c r="CL103" s="6"/>
      <c r="CN103" s="6"/>
      <c r="CP103" s="6"/>
      <c r="CR103" s="6"/>
      <c r="CT103" s="6"/>
      <c r="CV103" s="6"/>
      <c r="CX103" s="6"/>
      <c r="CZ103" s="6"/>
      <c r="DB103" s="6"/>
      <c r="DD103" s="6"/>
      <c r="DF103" s="6"/>
      <c r="DH103" s="6"/>
      <c r="DJ103" s="6"/>
      <c r="DL103" s="6"/>
      <c r="DN103" s="6"/>
      <c r="DP103" s="6"/>
      <c r="DR103" s="6"/>
      <c r="DT103" s="6"/>
      <c r="DV103" s="6"/>
      <c r="DX103" s="6"/>
      <c r="DZ103" s="6"/>
      <c r="EB103" s="6"/>
      <c r="ED103" s="6"/>
      <c r="EF103" s="6"/>
      <c r="EH103" s="6"/>
      <c r="EJ103" s="6"/>
      <c r="EL103" s="6"/>
      <c r="EN103" s="6"/>
      <c r="EP103" s="6"/>
      <c r="ER103" s="6"/>
      <c r="ET103" s="6"/>
      <c r="EV103" s="6"/>
      <c r="EX103" s="6"/>
      <c r="EZ103" s="6"/>
      <c r="FB103" s="6"/>
      <c r="FD103" s="6"/>
      <c r="FF103" s="6"/>
    </row>
    <row r="104" spans="5:162">
      <c r="E104" s="421">
        <v>43312</v>
      </c>
      <c r="F104" s="25">
        <v>8.4125209614309693E-2</v>
      </c>
      <c r="G104" s="25">
        <v>4.3073567784398525E-2</v>
      </c>
      <c r="H104" s="25">
        <v>-1.5029195985229227E-2</v>
      </c>
      <c r="I104" s="25">
        <v>-2.0272004105722274E-2</v>
      </c>
      <c r="J104" s="25">
        <v>8.0208916246968798E-3</v>
      </c>
      <c r="K104" s="25">
        <v>3.2832265436014474E-2</v>
      </c>
      <c r="L104" s="25">
        <v>3.5686024376322401E-3</v>
      </c>
      <c r="M104" s="25">
        <v>3.7437778359968643E-2</v>
      </c>
      <c r="N104" s="25">
        <v>9.2138380619823712E-2</v>
      </c>
      <c r="P104" s="421">
        <v>43312</v>
      </c>
      <c r="Q104" s="25">
        <v>-5.9677490278853274E-4</v>
      </c>
      <c r="R104" s="25">
        <v>-8.1430662939974141E-3</v>
      </c>
      <c r="S104" s="6"/>
      <c r="T104" s="421">
        <v>43312</v>
      </c>
      <c r="U104" s="25">
        <v>4.1675170000000004E-2</v>
      </c>
      <c r="V104" s="287">
        <v>4.1529999999999997E-2</v>
      </c>
      <c r="W104" s="25">
        <v>4.7962809999999995E-2</v>
      </c>
      <c r="X104" s="25">
        <v>2.2567451614548428E-2</v>
      </c>
      <c r="Y104" s="25">
        <v>-2.6298499999999999E-2</v>
      </c>
      <c r="Z104" s="25">
        <v>1.0526299999999999E-2</v>
      </c>
      <c r="AA104" s="25">
        <v>3.1055899999999997E-2</v>
      </c>
      <c r="AB104" s="25">
        <v>2.7800129999999999E-2</v>
      </c>
      <c r="AC104" s="25">
        <v>9.4218700000000002E-2</v>
      </c>
      <c r="AD104" s="6"/>
      <c r="AF104" s="6"/>
      <c r="AH104" s="6"/>
      <c r="AJ104" s="6"/>
      <c r="AL104" s="6"/>
      <c r="AN104" s="6"/>
      <c r="AP104" s="6"/>
      <c r="AR104" s="6"/>
      <c r="AT104" s="6"/>
      <c r="AV104" s="6"/>
      <c r="AX104" s="6"/>
      <c r="AZ104" s="6"/>
      <c r="BB104" s="6"/>
      <c r="BD104" s="6"/>
      <c r="BF104" s="6"/>
      <c r="BH104" s="6"/>
      <c r="BJ104" s="6"/>
      <c r="BL104" s="6"/>
      <c r="BN104" s="6"/>
      <c r="BP104" s="6"/>
      <c r="BR104" s="6"/>
      <c r="BT104" s="6"/>
      <c r="BV104" s="6"/>
      <c r="BX104" s="6"/>
      <c r="BZ104" s="6"/>
      <c r="CB104" s="6"/>
      <c r="CD104" s="6"/>
      <c r="CF104" s="6"/>
      <c r="CH104" s="6"/>
      <c r="CJ104" s="6"/>
      <c r="CL104" s="6"/>
      <c r="CN104" s="6"/>
      <c r="CP104" s="6"/>
      <c r="CR104" s="6"/>
      <c r="CT104" s="6"/>
      <c r="CV104" s="6"/>
      <c r="CX104" s="6"/>
      <c r="CZ104" s="6"/>
      <c r="DB104" s="6"/>
      <c r="DD104" s="6"/>
      <c r="DF104" s="6"/>
      <c r="DH104" s="6"/>
      <c r="DJ104" s="6"/>
      <c r="DL104" s="6"/>
      <c r="DN104" s="6"/>
      <c r="DP104" s="6"/>
      <c r="DR104" s="6"/>
      <c r="DT104" s="6"/>
      <c r="DV104" s="6"/>
      <c r="DX104" s="6"/>
      <c r="DZ104" s="6"/>
      <c r="EB104" s="6"/>
      <c r="ED104" s="6"/>
      <c r="EF104" s="6"/>
      <c r="EH104" s="6"/>
      <c r="EJ104" s="6"/>
      <c r="EL104" s="6"/>
      <c r="EN104" s="6"/>
      <c r="EP104" s="6"/>
      <c r="ER104" s="6"/>
      <c r="ET104" s="6"/>
      <c r="EV104" s="6"/>
      <c r="EX104" s="6"/>
      <c r="EZ104" s="6"/>
      <c r="FB104" s="6"/>
      <c r="FD104" s="6"/>
      <c r="FF104" s="6"/>
    </row>
    <row r="105" spans="5:162">
      <c r="E105" s="421">
        <v>43343</v>
      </c>
      <c r="F105" s="25">
        <v>-3.3771590616138214E-2</v>
      </c>
      <c r="G105" s="25">
        <v>8.1693611619310769E-2</v>
      </c>
      <c r="H105" s="25">
        <v>-4.0794522022999602E-2</v>
      </c>
      <c r="I105" s="25">
        <v>-2.0691461498166586E-2</v>
      </c>
      <c r="J105" s="25">
        <v>-4.2190969652109556E-2</v>
      </c>
      <c r="K105" s="25">
        <v>1.9514522260454248E-2</v>
      </c>
      <c r="L105" s="25">
        <v>7.6957381794768409E-2</v>
      </c>
      <c r="M105" s="25">
        <v>2.165458723705127E-2</v>
      </c>
      <c r="N105" s="25">
        <v>2.3154471254414943E-2</v>
      </c>
      <c r="P105" s="421">
        <v>43343</v>
      </c>
      <c r="Q105" s="25">
        <v>7.1027191471717543E-4</v>
      </c>
      <c r="R105" s="25">
        <v>7.6447003521442625E-3</v>
      </c>
      <c r="S105" s="6"/>
      <c r="T105" s="421">
        <v>43343</v>
      </c>
      <c r="U105" s="25">
        <v>-1.3952999999999999E-3</v>
      </c>
      <c r="V105" s="287">
        <v>-4.2456899999999999E-2</v>
      </c>
      <c r="W105" s="25">
        <v>4.1895999999999999E-3</v>
      </c>
      <c r="X105" s="25">
        <v>1.4255173745714611E-2</v>
      </c>
      <c r="Y105" s="25">
        <v>6.0432100000000002E-2</v>
      </c>
      <c r="Z105" s="25">
        <v>-8.0729200000000001E-2</v>
      </c>
      <c r="AA105" s="25">
        <v>1.22486E-2</v>
      </c>
      <c r="AB105" s="25">
        <v>1.812014E-2</v>
      </c>
      <c r="AC105" s="25">
        <v>4.7347799999999995E-2</v>
      </c>
      <c r="AD105" s="6"/>
      <c r="AF105" s="6"/>
      <c r="AH105" s="6"/>
      <c r="AJ105" s="6"/>
      <c r="AL105" s="6"/>
      <c r="AN105" s="6"/>
      <c r="AP105" s="6"/>
      <c r="AR105" s="6"/>
      <c r="AT105" s="6"/>
      <c r="AV105" s="6"/>
      <c r="AX105" s="6"/>
      <c r="AZ105" s="6"/>
      <c r="BB105" s="6"/>
      <c r="BD105" s="6"/>
      <c r="BF105" s="6"/>
      <c r="BH105" s="6"/>
      <c r="BJ105" s="6"/>
      <c r="BL105" s="6"/>
      <c r="BN105" s="6"/>
      <c r="BP105" s="6"/>
      <c r="BR105" s="6"/>
      <c r="BT105" s="6"/>
      <c r="BV105" s="6"/>
      <c r="BX105" s="6"/>
      <c r="BZ105" s="6"/>
      <c r="CB105" s="6"/>
      <c r="CD105" s="6"/>
      <c r="CF105" s="6"/>
      <c r="CH105" s="6"/>
      <c r="CJ105" s="6"/>
      <c r="CL105" s="6"/>
      <c r="CN105" s="6"/>
      <c r="CP105" s="6"/>
      <c r="CR105" s="6"/>
      <c r="CT105" s="6"/>
      <c r="CV105" s="6"/>
      <c r="CX105" s="6"/>
      <c r="CZ105" s="6"/>
      <c r="DB105" s="6"/>
      <c r="DD105" s="6"/>
      <c r="DF105" s="6"/>
      <c r="DH105" s="6"/>
      <c r="DJ105" s="6"/>
      <c r="DL105" s="6"/>
      <c r="DN105" s="6"/>
      <c r="DP105" s="6"/>
      <c r="DR105" s="6"/>
      <c r="DT105" s="6"/>
      <c r="DV105" s="6"/>
      <c r="DX105" s="6"/>
      <c r="DZ105" s="6"/>
      <c r="EB105" s="6"/>
      <c r="ED105" s="6"/>
      <c r="EF105" s="6"/>
      <c r="EH105" s="6"/>
      <c r="EJ105" s="6"/>
      <c r="EL105" s="6"/>
      <c r="EN105" s="6"/>
      <c r="EP105" s="6"/>
      <c r="ER105" s="6"/>
      <c r="ET105" s="6"/>
      <c r="EV105" s="6"/>
      <c r="EX105" s="6"/>
      <c r="EZ105" s="6"/>
      <c r="FB105" s="6"/>
      <c r="FD105" s="6"/>
      <c r="FF105" s="6"/>
    </row>
    <row r="106" spans="5:162">
      <c r="E106" s="421">
        <v>43373</v>
      </c>
      <c r="F106" s="25">
        <v>0.11526147278548571</v>
      </c>
      <c r="G106" s="25">
        <v>-3.1203617410513806E-2</v>
      </c>
      <c r="H106" s="25">
        <v>8.0302539572333798E-2</v>
      </c>
      <c r="I106" s="25">
        <v>-0.18186680930730148</v>
      </c>
      <c r="J106" s="25">
        <v>1.3523956723338504E-2</v>
      </c>
      <c r="K106" s="25">
        <v>1.758613447700319E-2</v>
      </c>
      <c r="L106" s="25">
        <v>2.4439102612316299E-2</v>
      </c>
      <c r="M106" s="25">
        <v>3.2289825697559893E-2</v>
      </c>
      <c r="N106" s="25">
        <v>2.5837536952832529E-2</v>
      </c>
      <c r="P106" s="421">
        <v>43373</v>
      </c>
      <c r="Q106" s="25">
        <v>2.1380969429736219E-2</v>
      </c>
      <c r="R106" s="25">
        <v>1.0524531682553073E-2</v>
      </c>
      <c r="S106" s="6"/>
      <c r="T106" s="421">
        <v>43373</v>
      </c>
      <c r="U106" s="25">
        <v>-6.4568499999999992E-3</v>
      </c>
      <c r="V106" s="287">
        <v>-1.4707600000000001E-2</v>
      </c>
      <c r="W106" s="25">
        <v>-1.8393000000000001E-3</v>
      </c>
      <c r="X106" s="25">
        <v>4.5564362525423174E-3</v>
      </c>
      <c r="Y106" s="25">
        <v>-5.1624999999999997E-2</v>
      </c>
      <c r="Z106" s="25">
        <v>-1.4164300000000001E-2</v>
      </c>
      <c r="AA106" s="25">
        <v>5.4280999999999999E-3</v>
      </c>
      <c r="AB106" s="25">
        <v>1.7245630000000001E-2</v>
      </c>
      <c r="AC106" s="25">
        <v>3.6518999999999996E-2</v>
      </c>
      <c r="AD106" s="6"/>
      <c r="AF106" s="6"/>
      <c r="AH106" s="6"/>
      <c r="AJ106" s="6"/>
      <c r="AL106" s="6"/>
      <c r="AN106" s="6"/>
      <c r="AP106" s="6"/>
      <c r="AR106" s="6"/>
      <c r="AT106" s="6"/>
      <c r="AV106" s="6"/>
      <c r="AX106" s="6"/>
      <c r="AZ106" s="6"/>
      <c r="BB106" s="6"/>
      <c r="BD106" s="6"/>
      <c r="BF106" s="6"/>
      <c r="BH106" s="6"/>
      <c r="BJ106" s="6"/>
      <c r="BL106" s="6"/>
      <c r="BN106" s="6"/>
      <c r="BP106" s="6"/>
      <c r="BR106" s="6"/>
      <c r="BT106" s="6"/>
      <c r="BV106" s="6"/>
      <c r="BX106" s="6"/>
      <c r="BZ106" s="6"/>
      <c r="CB106" s="6"/>
      <c r="CD106" s="6"/>
      <c r="CF106" s="6"/>
      <c r="CH106" s="6"/>
      <c r="CJ106" s="6"/>
      <c r="CL106" s="6"/>
      <c r="CN106" s="6"/>
      <c r="CP106" s="6"/>
      <c r="CR106" s="6"/>
      <c r="CT106" s="6"/>
      <c r="CV106" s="6"/>
      <c r="CX106" s="6"/>
      <c r="CZ106" s="6"/>
      <c r="DB106" s="6"/>
      <c r="DD106" s="6"/>
      <c r="DF106" s="6"/>
      <c r="DH106" s="6"/>
      <c r="DJ106" s="6"/>
      <c r="DL106" s="6"/>
      <c r="DN106" s="6"/>
      <c r="DP106" s="6"/>
      <c r="DR106" s="6"/>
      <c r="DT106" s="6"/>
      <c r="DV106" s="6"/>
      <c r="DX106" s="6"/>
      <c r="DZ106" s="6"/>
      <c r="EB106" s="6"/>
      <c r="ED106" s="6"/>
      <c r="EF106" s="6"/>
      <c r="EH106" s="6"/>
      <c r="EJ106" s="6"/>
      <c r="EL106" s="6"/>
      <c r="EN106" s="6"/>
      <c r="EP106" s="6"/>
      <c r="ER106" s="6"/>
      <c r="ET106" s="6"/>
      <c r="EV106" s="6"/>
      <c r="EX106" s="6"/>
      <c r="EZ106" s="6"/>
      <c r="FB106" s="6"/>
      <c r="FD106" s="6"/>
      <c r="FF106" s="6"/>
    </row>
    <row r="107" spans="5:162">
      <c r="E107" s="421">
        <v>43404</v>
      </c>
      <c r="F107" s="25">
        <v>-4.760765550239221E-2</v>
      </c>
      <c r="G107" s="25">
        <v>-7.2754480350589734E-2</v>
      </c>
      <c r="H107" s="25">
        <v>-5.6747514949071487E-2</v>
      </c>
      <c r="I107" s="25">
        <v>-0.21510297482837526</v>
      </c>
      <c r="J107" s="25">
        <v>-6.1570720548989821E-2</v>
      </c>
      <c r="K107" s="25">
        <v>-0.18147403867043232</v>
      </c>
      <c r="L107" s="25">
        <v>-8.9608817637907068E-2</v>
      </c>
      <c r="M107" s="25">
        <v>-0.23662586749781511</v>
      </c>
      <c r="N107" s="25">
        <v>1.3172079019716731E-2</v>
      </c>
      <c r="P107" s="421">
        <v>43404</v>
      </c>
      <c r="Q107" s="25">
        <v>-1.7188259096861946E-3</v>
      </c>
      <c r="R107" s="25">
        <v>-2.923205942254703E-2</v>
      </c>
      <c r="S107" s="6"/>
      <c r="T107" s="421">
        <v>43404</v>
      </c>
      <c r="U107" s="25">
        <v>-9.7020090000000003E-2</v>
      </c>
      <c r="V107" s="287">
        <v>-5.68911E-2</v>
      </c>
      <c r="W107" s="25">
        <v>-7.4997949999999994E-2</v>
      </c>
      <c r="X107" s="25">
        <v>-6.8315376213142986E-2</v>
      </c>
      <c r="Y107" s="25">
        <v>0.26167280000000004</v>
      </c>
      <c r="Z107" s="25">
        <v>-6.0344800000000004E-2</v>
      </c>
      <c r="AA107" s="25">
        <v>-7.3672199999999993E-2</v>
      </c>
      <c r="AB107" s="25">
        <v>-8.1013750000000009E-2</v>
      </c>
      <c r="AC107" s="25">
        <v>-0.1084912</v>
      </c>
      <c r="AD107" s="6"/>
      <c r="AF107" s="6"/>
      <c r="AH107" s="6"/>
      <c r="AJ107" s="6"/>
      <c r="AL107" s="6"/>
      <c r="AN107" s="6"/>
      <c r="AP107" s="6"/>
      <c r="AR107" s="6"/>
      <c r="AT107" s="6"/>
      <c r="AV107" s="6"/>
      <c r="AX107" s="6"/>
      <c r="AZ107" s="6"/>
      <c r="BB107" s="6"/>
      <c r="BD107" s="6"/>
      <c r="BF107" s="6"/>
      <c r="BH107" s="6"/>
      <c r="BJ107" s="6"/>
      <c r="BL107" s="6"/>
      <c r="BN107" s="6"/>
      <c r="BP107" s="6"/>
      <c r="BR107" s="6"/>
      <c r="BT107" s="6"/>
      <c r="BV107" s="6"/>
      <c r="BX107" s="6"/>
      <c r="BZ107" s="6"/>
      <c r="CB107" s="6"/>
      <c r="CD107" s="6"/>
      <c r="CF107" s="6"/>
      <c r="CH107" s="6"/>
      <c r="CJ107" s="6"/>
      <c r="CL107" s="6"/>
      <c r="CN107" s="6"/>
      <c r="CP107" s="6"/>
      <c r="CR107" s="6"/>
      <c r="CT107" s="6"/>
      <c r="CV107" s="6"/>
      <c r="CX107" s="6"/>
      <c r="CZ107" s="6"/>
      <c r="DB107" s="6"/>
      <c r="DD107" s="6"/>
      <c r="DF107" s="6"/>
      <c r="DH107" s="6"/>
      <c r="DJ107" s="6"/>
      <c r="DL107" s="6"/>
      <c r="DN107" s="6"/>
      <c r="DP107" s="6"/>
      <c r="DR107" s="6"/>
      <c r="DT107" s="6"/>
      <c r="DV107" s="6"/>
      <c r="DX107" s="6"/>
      <c r="DZ107" s="6"/>
      <c r="EB107" s="6"/>
      <c r="ED107" s="6"/>
      <c r="EF107" s="6"/>
      <c r="EH107" s="6"/>
      <c r="EJ107" s="6"/>
      <c r="EL107" s="6"/>
      <c r="EN107" s="6"/>
      <c r="EP107" s="6"/>
      <c r="ER107" s="6"/>
      <c r="ET107" s="6"/>
      <c r="EV107" s="6"/>
      <c r="EX107" s="6"/>
      <c r="EZ107" s="6"/>
      <c r="FB107" s="6"/>
      <c r="FD107" s="6"/>
      <c r="FF107" s="6"/>
    </row>
    <row r="108" spans="5:162">
      <c r="E108" s="421">
        <v>43434</v>
      </c>
      <c r="F108" s="25">
        <v>1.8588294398392158E-2</v>
      </c>
      <c r="G108" s="25">
        <v>0.18977905859750233</v>
      </c>
      <c r="H108" s="25">
        <v>-7.0819242747742317E-2</v>
      </c>
      <c r="I108" s="25">
        <v>1.8742190753852528E-2</v>
      </c>
      <c r="J108" s="25">
        <v>2.2140970952671202E-2</v>
      </c>
      <c r="K108" s="25">
        <v>9.2055002974866795E-3</v>
      </c>
      <c r="L108" s="25">
        <v>2.087436054327152E-2</v>
      </c>
      <c r="M108" s="25">
        <v>9.0284602998682573E-2</v>
      </c>
      <c r="N108" s="25">
        <v>5.6041031839969113E-2</v>
      </c>
      <c r="P108" s="421">
        <v>43434</v>
      </c>
      <c r="Q108" s="25">
        <v>-6.2834385193266673E-4</v>
      </c>
      <c r="R108" s="25">
        <v>-3.0400263276975648E-2</v>
      </c>
      <c r="S108" s="6"/>
      <c r="T108" s="421">
        <v>43434</v>
      </c>
      <c r="U108" s="25">
        <v>2.4454719999999999E-2</v>
      </c>
      <c r="V108" s="287">
        <v>0.10302149999999999</v>
      </c>
      <c r="W108" s="25">
        <v>3.6207530000000002E-2</v>
      </c>
      <c r="X108" s="25">
        <v>3.4230070340095287E-2</v>
      </c>
      <c r="Y108" s="25">
        <v>3.7007499999999999E-2</v>
      </c>
      <c r="Z108" s="25">
        <v>-6.1162099999999997E-2</v>
      </c>
      <c r="AA108" s="25">
        <v>1.14775E-2</v>
      </c>
      <c r="AB108" s="25">
        <v>1.39805E-2</v>
      </c>
      <c r="AC108" s="25">
        <v>3.45513E-2</v>
      </c>
      <c r="AD108" s="6"/>
      <c r="AF108" s="6"/>
      <c r="AH108" s="6"/>
      <c r="AJ108" s="6"/>
      <c r="AL108" s="6"/>
      <c r="AN108" s="6"/>
      <c r="AP108" s="6"/>
      <c r="AR108" s="6"/>
      <c r="AT108" s="6"/>
      <c r="AV108" s="6"/>
      <c r="AX108" s="6"/>
      <c r="AZ108" s="6"/>
      <c r="BB108" s="6"/>
      <c r="BD108" s="6"/>
      <c r="BF108" s="6"/>
      <c r="BH108" s="6"/>
      <c r="BJ108" s="6"/>
      <c r="BL108" s="6"/>
      <c r="BN108" s="6"/>
      <c r="BP108" s="6"/>
      <c r="BR108" s="6"/>
      <c r="BT108" s="6"/>
      <c r="BV108" s="6"/>
      <c r="BX108" s="6"/>
      <c r="BZ108" s="6"/>
      <c r="CB108" s="6"/>
      <c r="CD108" s="6"/>
      <c r="CF108" s="6"/>
      <c r="CH108" s="6"/>
      <c r="CJ108" s="6"/>
      <c r="CL108" s="6"/>
      <c r="CN108" s="6"/>
      <c r="CP108" s="6"/>
      <c r="CR108" s="6"/>
      <c r="CT108" s="6"/>
      <c r="CV108" s="6"/>
      <c r="CX108" s="6"/>
      <c r="CZ108" s="6"/>
      <c r="DB108" s="6"/>
      <c r="DD108" s="6"/>
      <c r="DF108" s="6"/>
      <c r="DH108" s="6"/>
      <c r="DJ108" s="6"/>
      <c r="DL108" s="6"/>
      <c r="DN108" s="6"/>
      <c r="DP108" s="6"/>
      <c r="DR108" s="6"/>
      <c r="DT108" s="6"/>
      <c r="DV108" s="6"/>
      <c r="DX108" s="6"/>
      <c r="DZ108" s="6"/>
      <c r="EB108" s="6"/>
      <c r="ED108" s="6"/>
      <c r="EF108" s="6"/>
      <c r="EH108" s="6"/>
      <c r="EJ108" s="6"/>
      <c r="EL108" s="6"/>
      <c r="EN108" s="6"/>
      <c r="EP108" s="6"/>
      <c r="ER108" s="6"/>
      <c r="ET108" s="6"/>
      <c r="EV108" s="6"/>
      <c r="EX108" s="6"/>
      <c r="EZ108" s="6"/>
      <c r="FB108" s="6"/>
      <c r="FD108" s="6"/>
      <c r="FF108" s="6"/>
    </row>
    <row r="109" spans="5:162">
      <c r="E109" s="421">
        <v>43465</v>
      </c>
      <c r="F109" s="25">
        <v>-8.1381011097410583E-2</v>
      </c>
      <c r="G109" s="25">
        <v>9.9147396977135038E-3</v>
      </c>
      <c r="H109" s="25">
        <v>-4.7969404849249053E-2</v>
      </c>
      <c r="I109" s="25">
        <v>2.4529844644316512E-3</v>
      </c>
      <c r="J109" s="25">
        <v>-2.5437201907790197E-2</v>
      </c>
      <c r="K109" s="25">
        <v>-6.0743003793698125E-2</v>
      </c>
      <c r="L109" s="25">
        <v>-9.8250783363855621E-2</v>
      </c>
      <c r="M109" s="25">
        <v>-8.5296853572695785E-2</v>
      </c>
      <c r="N109" s="25">
        <v>-0.12151141069767812</v>
      </c>
      <c r="P109" s="421">
        <v>43465</v>
      </c>
      <c r="Q109" s="25">
        <v>2.4265007289056451E-2</v>
      </c>
      <c r="R109" s="25">
        <v>3.6694951209164106E-2</v>
      </c>
      <c r="S109" s="6"/>
      <c r="T109" s="421">
        <v>43465</v>
      </c>
      <c r="U109" s="25">
        <v>-6.4034359999999999E-2</v>
      </c>
      <c r="V109" s="287">
        <v>-6.5202999999999997E-2</v>
      </c>
      <c r="W109" s="25">
        <v>-6.4489999999999992E-2</v>
      </c>
      <c r="X109" s="25">
        <v>-4.8782725508887841E-2</v>
      </c>
      <c r="Y109" s="25">
        <v>0.28984369999999998</v>
      </c>
      <c r="Z109" s="25">
        <v>4.3916199999999996E-2</v>
      </c>
      <c r="AA109" s="25">
        <v>-7.6157299999999997E-2</v>
      </c>
      <c r="AB109" s="25">
        <v>-7.6538469999999997E-2</v>
      </c>
      <c r="AC109" s="25">
        <v>-0.17622280000000001</v>
      </c>
      <c r="AD109" s="6"/>
      <c r="AF109" s="6"/>
      <c r="AH109" s="6"/>
      <c r="AJ109" s="6"/>
      <c r="AL109" s="6"/>
      <c r="AN109" s="6"/>
      <c r="AP109" s="6"/>
      <c r="AR109" s="6"/>
      <c r="AT109" s="6"/>
      <c r="AV109" s="6"/>
      <c r="AX109" s="6"/>
      <c r="AZ109" s="6"/>
      <c r="BB109" s="6"/>
      <c r="BD109" s="6"/>
      <c r="BF109" s="6"/>
      <c r="BH109" s="6"/>
      <c r="BJ109" s="6"/>
      <c r="BL109" s="6"/>
      <c r="BN109" s="6"/>
      <c r="BP109" s="6"/>
      <c r="BR109" s="6"/>
      <c r="BT109" s="6"/>
      <c r="BV109" s="6"/>
      <c r="BX109" s="6"/>
      <c r="BZ109" s="6"/>
      <c r="CB109" s="6"/>
      <c r="CD109" s="6"/>
      <c r="CF109" s="6"/>
      <c r="CH109" s="6"/>
      <c r="CJ109" s="6"/>
      <c r="CL109" s="6"/>
      <c r="CN109" s="6"/>
      <c r="CP109" s="6"/>
      <c r="CR109" s="6"/>
      <c r="CT109" s="6"/>
      <c r="CV109" s="6"/>
      <c r="CX109" s="6"/>
      <c r="CZ109" s="6"/>
      <c r="DB109" s="6"/>
      <c r="DD109" s="6"/>
      <c r="DF109" s="6"/>
      <c r="DH109" s="6"/>
      <c r="DJ109" s="6"/>
      <c r="DL109" s="6"/>
      <c r="DN109" s="6"/>
      <c r="DP109" s="6"/>
      <c r="DR109" s="6"/>
      <c r="DT109" s="6"/>
      <c r="DV109" s="6"/>
      <c r="DX109" s="6"/>
      <c r="DZ109" s="6"/>
      <c r="EB109" s="6"/>
      <c r="ED109" s="6"/>
      <c r="EF109" s="6"/>
      <c r="EH109" s="6"/>
      <c r="EJ109" s="6"/>
      <c r="EL109" s="6"/>
      <c r="EN109" s="6"/>
      <c r="EP109" s="6"/>
      <c r="ER109" s="6"/>
      <c r="ET109" s="6"/>
      <c r="EV109" s="6"/>
      <c r="EX109" s="6"/>
      <c r="EZ109" s="6"/>
      <c r="FB109" s="6"/>
      <c r="FD109" s="6"/>
      <c r="FF109" s="6"/>
    </row>
    <row r="110" spans="5:162">
      <c r="V110" s="285"/>
    </row>
    <row r="111" spans="5:162">
      <c r="Q111" s="261"/>
      <c r="R111" s="261"/>
      <c r="V111" s="285"/>
    </row>
    <row r="112" spans="5:162">
      <c r="V112" s="285"/>
    </row>
    <row r="113" spans="22:22">
      <c r="V113" s="285"/>
    </row>
    <row r="114" spans="22:22">
      <c r="V114" s="25"/>
    </row>
    <row r="115" spans="22:22">
      <c r="V115" s="25"/>
    </row>
    <row r="116" spans="22:22">
      <c r="V116" s="25"/>
    </row>
    <row r="117" spans="22:22">
      <c r="V117" s="25"/>
    </row>
    <row r="118" spans="22:22">
      <c r="V118" s="25"/>
    </row>
    <row r="119" spans="22:22">
      <c r="V119" s="25"/>
    </row>
    <row r="120" spans="22:22">
      <c r="V120" s="25"/>
    </row>
    <row r="121" spans="22:22">
      <c r="V121" s="25"/>
    </row>
    <row r="122" spans="22:22">
      <c r="V122" s="25"/>
    </row>
    <row r="123" spans="22:22">
      <c r="V123" s="25"/>
    </row>
    <row r="124" spans="22:22">
      <c r="V124" s="25"/>
    </row>
    <row r="125" spans="22:22">
      <c r="V125" s="25"/>
    </row>
  </sheetData>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T110"/>
  <sheetViews>
    <sheetView workbookViewId="0">
      <selection activeCell="CG31" sqref="CG31"/>
    </sheetView>
  </sheetViews>
  <sheetFormatPr baseColWidth="10" defaultRowHeight="15"/>
  <cols>
    <col min="1" max="4" width="11.42578125" style="153"/>
    <col min="5" max="5" width="20.7109375" style="153" customWidth="1"/>
    <col min="6" max="6" width="13.5703125" style="153" bestFit="1" customWidth="1"/>
    <col min="7" max="13" width="11.42578125" style="153"/>
    <col min="14" max="14" width="12.140625" style="153" bestFit="1" customWidth="1"/>
    <col min="15" max="15" width="20.7109375" style="153" customWidth="1"/>
    <col min="16" max="26" width="11.42578125" style="153"/>
    <col min="27" max="27" width="18" style="153" bestFit="1" customWidth="1"/>
    <col min="28" max="36" width="11.42578125" style="153"/>
    <col min="37" max="37" width="20.7109375" style="153" customWidth="1"/>
    <col min="38" max="46" width="11.42578125" style="153"/>
    <col min="47" max="47" width="20.7109375" style="153" customWidth="1"/>
    <col min="48" max="68" width="11.42578125" style="153"/>
    <col min="69" max="69" width="20.7109375" style="153" customWidth="1"/>
    <col min="70" max="71" width="11.42578125" style="153"/>
    <col min="72" max="72" width="20.7109375" style="153" customWidth="1"/>
    <col min="73" max="73" width="17.42578125" style="153" bestFit="1" customWidth="1"/>
    <col min="74" max="84" width="11.42578125" style="153"/>
    <col min="85" max="85" width="20.7109375" style="215" customWidth="1"/>
    <col min="86" max="16384" width="11.42578125" style="153"/>
  </cols>
  <sheetData>
    <row r="1" spans="1:98" ht="15" customHeight="1">
      <c r="E1" s="267" t="s">
        <v>267</v>
      </c>
      <c r="F1" s="268" t="s">
        <v>221</v>
      </c>
      <c r="G1" s="269" t="s">
        <v>4</v>
      </c>
      <c r="H1" s="269" t="s">
        <v>223</v>
      </c>
      <c r="I1" s="269" t="s">
        <v>224</v>
      </c>
      <c r="J1" s="269" t="s">
        <v>225</v>
      </c>
      <c r="K1" s="269" t="s">
        <v>226</v>
      </c>
      <c r="L1" s="269" t="str">
        <f>"Moving VaR "&amp;TEXT('Carbon Risk Factor BMG'!H14,"0.0%")</f>
        <v>Moving VaR 5.0%</v>
      </c>
      <c r="M1" s="269" t="str">
        <f>"Moving VaR "&amp;TEXT('Carbon Risk Factor BMG'!H15,"0.0%")</f>
        <v>Moving VaR 95.0%</v>
      </c>
      <c r="N1" s="318">
        <v>1</v>
      </c>
      <c r="O1" s="269" t="s">
        <v>266</v>
      </c>
      <c r="P1" s="268" t="s">
        <v>265</v>
      </c>
      <c r="Q1" s="267" t="str">
        <f>Equity!F10</f>
        <v>Tata Motors</v>
      </c>
      <c r="R1" s="269" t="str">
        <f>Equity!F11</f>
        <v>Toyota</v>
      </c>
      <c r="S1" s="269" t="str">
        <f>Equity!F12</f>
        <v>BP</v>
      </c>
      <c r="T1" s="269" t="str">
        <f>Equity!F13</f>
        <v>IBM</v>
      </c>
      <c r="U1" s="269" t="str">
        <f>Equity!F14</f>
        <v>Adobe</v>
      </c>
      <c r="V1" s="269" t="str">
        <f>Q1&amp;" Beta"</f>
        <v>Tata Motors Beta</v>
      </c>
      <c r="W1" s="269" t="str">
        <f t="shared" ref="W1:Z1" si="0">R1&amp;" Beta"</f>
        <v>Toyota Beta</v>
      </c>
      <c r="X1" s="269" t="str">
        <f t="shared" si="0"/>
        <v>BP Beta</v>
      </c>
      <c r="Y1" s="269" t="str">
        <f t="shared" si="0"/>
        <v>IBM Beta</v>
      </c>
      <c r="Z1" s="269" t="str">
        <f t="shared" si="0"/>
        <v>Adobe Beta</v>
      </c>
      <c r="AA1" s="270" t="str">
        <f>Q1&amp;" Beta"</f>
        <v>Tata Motors Beta</v>
      </c>
      <c r="AB1" s="270" t="str">
        <f t="shared" ref="AB1:AE1" si="1">R1&amp;" Beta"</f>
        <v>Toyota Beta</v>
      </c>
      <c r="AC1" s="270" t="str">
        <f t="shared" si="1"/>
        <v>BP Beta</v>
      </c>
      <c r="AD1" s="270" t="str">
        <f t="shared" si="1"/>
        <v>IBM Beta</v>
      </c>
      <c r="AE1" s="270" t="str">
        <f t="shared" si="1"/>
        <v>Adobe Beta</v>
      </c>
      <c r="AF1" s="270" t="str">
        <f>Q1&amp;" Rolling Beta"</f>
        <v>Tata Motors Rolling Beta</v>
      </c>
      <c r="AG1" s="270" t="str">
        <f t="shared" ref="AG1:AJ1" si="2">R1&amp;" Rolling Beta"</f>
        <v>Toyota Rolling Beta</v>
      </c>
      <c r="AH1" s="270" t="str">
        <f t="shared" si="2"/>
        <v>BP Rolling Beta</v>
      </c>
      <c r="AI1" s="270" t="str">
        <f t="shared" si="2"/>
        <v>IBM Rolling Beta</v>
      </c>
      <c r="AJ1" s="270" t="str">
        <f t="shared" si="2"/>
        <v>Adobe Rolling Beta</v>
      </c>
      <c r="AK1" s="268" t="s">
        <v>243</v>
      </c>
      <c r="AL1" s="268" t="s">
        <v>265</v>
      </c>
      <c r="AM1" s="267" t="str">
        <f>Bonds!F10</f>
        <v>Philips Bond</v>
      </c>
      <c r="AN1" s="269" t="str">
        <f>Bonds!F11</f>
        <v>IBM Bond</v>
      </c>
      <c r="AO1" s="269" t="str">
        <f>AM1&amp;" Beta"</f>
        <v>Philips Bond Beta</v>
      </c>
      <c r="AP1" s="269" t="str">
        <f>AN1&amp;" Beta"</f>
        <v>IBM Bond Beta</v>
      </c>
      <c r="AQ1" s="269" t="str">
        <f>AM1&amp;" Beta"</f>
        <v>Philips Bond Beta</v>
      </c>
      <c r="AR1" s="269" t="str">
        <f>AN1&amp;" Beta"</f>
        <v>IBM Bond Beta</v>
      </c>
      <c r="AS1" s="270" t="str">
        <f>AM1&amp;" Rolling Beta"</f>
        <v>Philips Bond Rolling Beta</v>
      </c>
      <c r="AT1" s="270" t="str">
        <f>AN1&amp;" Rolling Beta"</f>
        <v>IBM Bond Rolling Beta</v>
      </c>
      <c r="AU1" s="268" t="s">
        <v>244</v>
      </c>
      <c r="AV1" s="268" t="s">
        <v>265</v>
      </c>
      <c r="AW1" s="267" t="str">
        <f>Funds!F10</f>
        <v>US GI World Precious Minerals</v>
      </c>
      <c r="AX1" s="269" t="str">
        <f>Funds!F11</f>
        <v>iShares MSCI World ETF</v>
      </c>
      <c r="AY1" s="269" t="str">
        <f>Funds!F12</f>
        <v>RobecoSAM Sustainable EE</v>
      </c>
      <c r="AZ1" s="269" t="str">
        <f>Funds!F13</f>
        <v>UniNachhaltig Aktien G</v>
      </c>
      <c r="BA1" s="269" t="str">
        <f>Funds!F14</f>
        <v>ProShares UltraShort Oil &amp; Gas</v>
      </c>
      <c r="BB1" s="269" t="str">
        <f>AW1&amp;" Beta"</f>
        <v>US GI World Precious Minerals Beta</v>
      </c>
      <c r="BC1" s="269" t="str">
        <f t="shared" ref="BC1" si="3">AX1&amp;" Beta"</f>
        <v>iShares MSCI World ETF Beta</v>
      </c>
      <c r="BD1" s="269" t="str">
        <f t="shared" ref="BD1" si="4">AY1&amp;" Beta"</f>
        <v>RobecoSAM Sustainable EE Beta</v>
      </c>
      <c r="BE1" s="269" t="str">
        <f t="shared" ref="BE1" si="5">AZ1&amp;" Beta"</f>
        <v>UniNachhaltig Aktien G Beta</v>
      </c>
      <c r="BF1" s="269" t="str">
        <f t="shared" ref="BF1" si="6">BA1&amp;" Beta"</f>
        <v>ProShares UltraShort Oil &amp; Gas Beta</v>
      </c>
      <c r="BG1" s="270" t="str">
        <f>AW1&amp;" Beta"</f>
        <v>US GI World Precious Minerals Beta</v>
      </c>
      <c r="BH1" s="270" t="str">
        <f t="shared" ref="BH1" si="7">AX1&amp;" Beta"</f>
        <v>iShares MSCI World ETF Beta</v>
      </c>
      <c r="BI1" s="270" t="str">
        <f t="shared" ref="BI1" si="8">AY1&amp;" Beta"</f>
        <v>RobecoSAM Sustainable EE Beta</v>
      </c>
      <c r="BJ1" s="270" t="str">
        <f t="shared" ref="BJ1" si="9">AZ1&amp;" Beta"</f>
        <v>UniNachhaltig Aktien G Beta</v>
      </c>
      <c r="BK1" s="270" t="str">
        <f t="shared" ref="BK1" si="10">BA1&amp;" Beta"</f>
        <v>ProShares UltraShort Oil &amp; Gas Beta</v>
      </c>
      <c r="BL1" s="270" t="str">
        <f>AW1&amp;" Rolling Beta"</f>
        <v>US GI World Precious Minerals Rolling Beta</v>
      </c>
      <c r="BM1" s="270" t="str">
        <f t="shared" ref="BM1" si="11">AX1&amp;" Rolling Beta"</f>
        <v>iShares MSCI World ETF Rolling Beta</v>
      </c>
      <c r="BN1" s="270" t="str">
        <f t="shared" ref="BN1" si="12">AY1&amp;" Rolling Beta"</f>
        <v>RobecoSAM Sustainable EE Rolling Beta</v>
      </c>
      <c r="BO1" s="270" t="str">
        <f t="shared" ref="BO1" si="13">AZ1&amp;" Rolling Beta"</f>
        <v>UniNachhaltig Aktien G Rolling Beta</v>
      </c>
      <c r="BP1" s="270" t="str">
        <f t="shared" ref="BP1" si="14">BA1&amp;" Rolling Beta"</f>
        <v>ProShares UltraShort Oil &amp; Gas Rolling Beta</v>
      </c>
      <c r="BQ1" s="271" t="s">
        <v>268</v>
      </c>
      <c r="BS1" s="267"/>
      <c r="BT1" s="271" t="s">
        <v>269</v>
      </c>
      <c r="BV1" s="267"/>
      <c r="BW1" s="267"/>
      <c r="BX1" s="267"/>
      <c r="BY1" s="267"/>
      <c r="BZ1" s="267"/>
      <c r="CA1" s="267"/>
      <c r="CB1" s="267"/>
      <c r="CC1" s="267"/>
      <c r="CD1" s="267"/>
      <c r="CE1" s="267"/>
      <c r="CF1" s="267"/>
      <c r="CG1" s="271" t="s">
        <v>270</v>
      </c>
      <c r="CI1" s="267"/>
      <c r="CJ1" s="267"/>
      <c r="CK1" s="267"/>
      <c r="CL1" s="267"/>
      <c r="CM1" s="267"/>
      <c r="CN1" s="267"/>
      <c r="CO1" s="267"/>
      <c r="CP1" s="154" t="s">
        <v>272</v>
      </c>
      <c r="CQ1" s="267"/>
      <c r="CR1" s="267"/>
      <c r="CS1" s="157" t="s">
        <v>271</v>
      </c>
      <c r="CT1" s="267"/>
    </row>
    <row r="2" spans="1:98">
      <c r="F2" s="421">
        <v>40209</v>
      </c>
      <c r="G2" s="272">
        <f>BMG!F2</f>
        <v>-1.3868200000000001E-2</v>
      </c>
      <c r="H2" s="272"/>
      <c r="I2" s="272"/>
      <c r="J2" s="272"/>
      <c r="K2" s="272"/>
      <c r="L2" s="272"/>
      <c r="M2" s="272"/>
      <c r="N2" s="272">
        <f>N1*(1+G2)-1</f>
        <v>-1.3868199999999997E-2</v>
      </c>
      <c r="O2" s="272"/>
      <c r="P2" s="421">
        <v>40209</v>
      </c>
      <c r="Q2" s="154">
        <f>HLOOKUP(Q$1,'Asset Returns'!$F$1:$N$109,ROW(),0)</f>
        <v>-0.11586199700832367</v>
      </c>
      <c r="R2" s="154">
        <f>HLOOKUP(R$1,'Asset Returns'!$F$1:$N$109,ROW(),0)</f>
        <v>-7.6307445764541626E-2</v>
      </c>
      <c r="S2" s="154">
        <f>HLOOKUP(S$1,'Asset Returns'!$F$1:$N$109,ROW(),0)</f>
        <v>-2.9372639954090118E-2</v>
      </c>
      <c r="T2" s="154">
        <f>HLOOKUP(T$1,'Asset Returns'!$F$1:$N$109,ROW(),0)</f>
        <v>-6.5011471509933472E-2</v>
      </c>
      <c r="U2" s="154">
        <f>HLOOKUP(U$1,'Asset Returns'!$F$1:$N$109,ROW(),0)</f>
        <v>-0.1218053326010704</v>
      </c>
      <c r="V2" s="273" t="e">
        <f>IF(IF(Equity!$J$10="no",AA2,AF2)=0,NA(),IF(Equity!$J$10="no",AA2,AF2))</f>
        <v>#N/A</v>
      </c>
      <c r="W2" s="273" t="e">
        <f>IF(IF(Equity!$J$10="no",AB2,AG2)=0,NA(),IF(Equity!$J$10="no",AB2,AG2))</f>
        <v>#N/A</v>
      </c>
      <c r="X2" s="273" t="e">
        <f>IF(IF(Equity!$J$10="no",AC2,AH2)=0,NA(),IF(Equity!$J$10="no",AC2,AH2))</f>
        <v>#N/A</v>
      </c>
      <c r="Y2" s="273" t="e">
        <f>IF(IF(Equity!$J$10="no",AD2,AI2)=0,NA(),IF(Equity!$J$10="no",AD2,AI2))</f>
        <v>#N/A</v>
      </c>
      <c r="Z2" s="273" t="e">
        <f>IF(IF(Equity!$J$10="no",AE2,AJ2)=0,NA(),IF(Equity!$J$10="no",AE2,AJ2))</f>
        <v>#N/A</v>
      </c>
      <c r="AA2" s="274">
        <f ca="1">Equity!$R$34</f>
        <v>0.64097224418739052</v>
      </c>
      <c r="AB2" s="274">
        <f ca="1">Equity!$R$36</f>
        <v>-0.78557102570241866</v>
      </c>
      <c r="AC2" s="274">
        <f ca="1">Equity!$R$38</f>
        <v>0.9378377404978776</v>
      </c>
      <c r="AD2" s="274">
        <f ca="1">Equity!$R$40</f>
        <v>0.17519882647973573</v>
      </c>
      <c r="AE2" s="274">
        <f ca="1">Equity!$R$42</f>
        <v>7.3760094442444454E-2</v>
      </c>
      <c r="AF2" s="274"/>
      <c r="AG2" s="275"/>
      <c r="AH2" s="275"/>
      <c r="AI2" s="275"/>
      <c r="AJ2" s="275"/>
      <c r="AK2" s="275"/>
      <c r="AL2" s="421">
        <v>40209</v>
      </c>
      <c r="AM2" s="154">
        <f>HLOOKUP(AM$1,'Asset Returns'!$F$1:$ZS$109,ROW(),0)</f>
        <v>3.8100627151412159E-2</v>
      </c>
      <c r="AN2" s="154">
        <f>HLOOKUP(AN$1,'Asset Returns'!$F$1:$ZS$109,ROW(),0)</f>
        <v>-6.4581987875250713E-3</v>
      </c>
      <c r="AO2" s="273">
        <f ca="1">IF(IF(Bonds!$J$10="no",AQ2,AS2)=0,NA(),IF(Bonds!$J$10="no",AQ2,AS2))</f>
        <v>-0.12498736259259137</v>
      </c>
      <c r="AP2" s="273">
        <f ca="1">IF(IF(Bonds!$J$10="no",AR2,AT2)=0,NA(),IF(Bonds!$J$10="no",AR2,AT2))</f>
        <v>0.19970923689173462</v>
      </c>
      <c r="AQ2" s="273">
        <f ca="1">Bonds!$P$32</f>
        <v>-0.12498736259259137</v>
      </c>
      <c r="AR2" s="273">
        <f ca="1">Bonds!$P$34</f>
        <v>0.19970923689173462</v>
      </c>
      <c r="AS2" s="274"/>
      <c r="AT2" s="275"/>
      <c r="AU2" s="275"/>
      <c r="AV2" s="421">
        <v>40209</v>
      </c>
      <c r="AW2" s="154">
        <f>HLOOKUP(AW$1,'Asset Returns'!$F$1:$ZS$109,ROW(),0)</f>
        <v>-9.5866799999999988E-2</v>
      </c>
      <c r="AX2" s="154">
        <f>HLOOKUP(AX$1,'Asset Returns'!$F$1:$ZS$109,ROW(),0)</f>
        <v>-4.3945600000000001E-2</v>
      </c>
      <c r="AY2" s="154">
        <f>HLOOKUP(AY$1,'Asset Returns'!$F$1:$ZS$109,ROW(),0)</f>
        <v>-4.2012549999999996E-2</v>
      </c>
      <c r="AZ2" s="154">
        <f>HLOOKUP(AZ$1,'Asset Returns'!$F$1:$ZS$109,ROW(),0)</f>
        <v>-4.664343E-2</v>
      </c>
      <c r="BA2" s="154">
        <f>HLOOKUP(BA$1,'Asset Returns'!$F$1:$ZS$109,ROW(),0)</f>
        <v>8.2352900000000007E-2</v>
      </c>
      <c r="BB2" s="273" t="e">
        <f>IF(IF(Funds!$J$10="no",BG2,BL2)=0,NA(),IF(Funds!$J$10="no",BG2,BL2))</f>
        <v>#N/A</v>
      </c>
      <c r="BC2" s="273" t="e">
        <f>IF(IF(Funds!$J$10="no",BH2,BM2)=0,NA(),IF(Funds!$J$10="no",BH2,BM2))</f>
        <v>#N/A</v>
      </c>
      <c r="BD2" s="273" t="e">
        <f>IF(IF(Funds!$J$10="no",BI2,BN2)=0,NA(),IF(Funds!$J$10="no",BI2,BN2))</f>
        <v>#N/A</v>
      </c>
      <c r="BE2" s="273" t="e">
        <f>IF(IF(Funds!$J$10="no",BJ2,BO2)=0,NA(),IF(Funds!$J$10="no",BJ2,BO2))</f>
        <v>#N/A</v>
      </c>
      <c r="BF2" s="273" t="e">
        <f>IF(IF(Funds!$J$10="no",BK2,BP2)=0,NA(),IF(Funds!$J$10="no",BK2,BP2))</f>
        <v>#N/A</v>
      </c>
      <c r="BG2" s="274">
        <f ca="1">Funds!$R$34</f>
        <v>2.5919346055080732</v>
      </c>
      <c r="BH2" s="274">
        <f ca="1">Funds!$R$36</f>
        <v>1.3378677483181089E-2</v>
      </c>
      <c r="BI2" s="274">
        <f ca="1">Funds!$R$38</f>
        <v>-0.15972963753204919</v>
      </c>
      <c r="BJ2" s="274">
        <f ca="1">Funds!$R$40</f>
        <v>-0.16887551350866659</v>
      </c>
      <c r="BK2" s="274">
        <f ca="1">Funds!$R$42</f>
        <v>-1.9222891726906419</v>
      </c>
      <c r="BL2" s="274"/>
      <c r="BM2" s="275"/>
      <c r="BN2" s="275"/>
      <c r="BO2" s="275"/>
      <c r="BP2" s="275"/>
      <c r="BR2" s="154" t="s">
        <v>29</v>
      </c>
      <c r="BS2" s="153" t="s">
        <v>30</v>
      </c>
      <c r="BT2" s="154"/>
      <c r="BU2" s="276" t="s">
        <v>30</v>
      </c>
      <c r="BV2" s="277" t="str">
        <f>Sectors!N21</f>
        <v>Energy</v>
      </c>
      <c r="BW2" s="277" t="str">
        <f>Sectors!N20</f>
        <v>Basic Materials</v>
      </c>
      <c r="BX2" s="277" t="str">
        <f>Sectors!N19</f>
        <v>Utilities</v>
      </c>
      <c r="BY2" s="277" t="str">
        <f>Sectors!N18</f>
        <v>Real Estate</v>
      </c>
      <c r="BZ2" s="277" t="str">
        <f>Sectors!N17</f>
        <v>Healthcare</v>
      </c>
      <c r="CA2" s="277" t="str">
        <f>Sectors!N16</f>
        <v>Communication Services</v>
      </c>
      <c r="CB2" s="277" t="str">
        <f>Sectors!N15</f>
        <v>Consumer Cyclical</v>
      </c>
      <c r="CC2" s="277" t="str">
        <f>Sectors!N14</f>
        <v>Financial Services</v>
      </c>
      <c r="CD2" s="277" t="str">
        <f>Sectors!N13</f>
        <v>Consumer Defensive</v>
      </c>
      <c r="CE2" s="277" t="str">
        <f>Sectors!N12</f>
        <v>Industry</v>
      </c>
      <c r="CF2" s="277" t="str">
        <f>Sectors!N11</f>
        <v>Technology</v>
      </c>
      <c r="CH2" s="154" t="s">
        <v>29</v>
      </c>
      <c r="CI2" s="153" t="s">
        <v>30</v>
      </c>
      <c r="CJ2" s="154" t="s">
        <v>272</v>
      </c>
      <c r="CK2" s="154" t="s">
        <v>29</v>
      </c>
      <c r="CL2" s="153" t="s">
        <v>30</v>
      </c>
      <c r="CM2" s="157" t="s">
        <v>271</v>
      </c>
      <c r="CO2" s="153" t="s">
        <v>29</v>
      </c>
      <c r="CP2" s="154" t="s">
        <v>30</v>
      </c>
      <c r="CR2" s="153" t="s">
        <v>29</v>
      </c>
      <c r="CS2" s="154" t="s">
        <v>30</v>
      </c>
    </row>
    <row r="3" spans="1:98">
      <c r="F3" s="421">
        <v>40237</v>
      </c>
      <c r="G3" s="272">
        <f>BMG!F3</f>
        <v>1.1553300000000001E-2</v>
      </c>
      <c r="H3" s="272"/>
      <c r="I3" s="272"/>
      <c r="J3" s="272"/>
      <c r="K3" s="272"/>
      <c r="L3" s="272"/>
      <c r="M3" s="272"/>
      <c r="N3" s="272">
        <f t="shared" ref="N3:N34" si="15">(1+N2)*(1+G3)-1</f>
        <v>-2.4751234750598483E-3</v>
      </c>
      <c r="O3" s="272"/>
      <c r="P3" s="421">
        <v>40237</v>
      </c>
      <c r="Q3" s="154">
        <f>HLOOKUP(Q$1,'Asset Returns'!$F$1:$N$109,ROW(),0)</f>
        <v>2.5710742920637131E-2</v>
      </c>
      <c r="R3" s="154">
        <f>HLOOKUP(R$1,'Asset Returns'!$F$1:$N$109,ROW(),0)</f>
        <v>-2.6624774560332298E-2</v>
      </c>
      <c r="S3" s="154">
        <f>HLOOKUP(S$1,'Asset Returns'!$F$1:$N$109,ROW(),0)</f>
        <v>-4.9007833003997803E-2</v>
      </c>
      <c r="T3" s="154">
        <f>HLOOKUP(T$1,'Asset Returns'!$F$1:$N$109,ROW(),0)</f>
        <v>4.3662291020154953E-2</v>
      </c>
      <c r="U3" s="154">
        <f>HLOOKUP(U$1,'Asset Returns'!$F$1:$N$109,ROW(),0)</f>
        <v>7.2755418717861176E-2</v>
      </c>
      <c r="V3" s="273" t="e">
        <f>IF(IF(Equity!$J$10="no",AA3,AF3)=0,NA(),IF(Equity!$J$10="no",AA3,AF3))</f>
        <v>#N/A</v>
      </c>
      <c r="W3" s="273" t="e">
        <f>IF(IF(Equity!$J$10="no",AB3,AG3)=0,NA(),IF(Equity!$J$10="no",AB3,AG3))</f>
        <v>#N/A</v>
      </c>
      <c r="X3" s="273" t="e">
        <f>IF(IF(Equity!$J$10="no",AC3,AH3)=0,NA(),IF(Equity!$J$10="no",AC3,AH3))</f>
        <v>#N/A</v>
      </c>
      <c r="Y3" s="273" t="e">
        <f>IF(IF(Equity!$J$10="no",AD3,AI3)=0,NA(),IF(Equity!$J$10="no",AD3,AI3))</f>
        <v>#N/A</v>
      </c>
      <c r="Z3" s="273" t="e">
        <f>IF(IF(Equity!$J$10="no",AE3,AJ3)=0,NA(),IF(Equity!$J$10="no",AE3,AJ3))</f>
        <v>#N/A</v>
      </c>
      <c r="AA3" s="274">
        <f ca="1">Equity!$R$34</f>
        <v>0.64097224418739052</v>
      </c>
      <c r="AB3" s="274">
        <f ca="1">Equity!$R$36</f>
        <v>-0.78557102570241866</v>
      </c>
      <c r="AC3" s="274">
        <f ca="1">Equity!$R$38</f>
        <v>0.9378377404978776</v>
      </c>
      <c r="AD3" s="274">
        <f ca="1">Equity!$R$40</f>
        <v>0.17519882647973573</v>
      </c>
      <c r="AE3" s="274">
        <f ca="1">Equity!$R$42</f>
        <v>7.3760094442444454E-2</v>
      </c>
      <c r="AF3" s="154"/>
      <c r="AH3" s="154"/>
      <c r="AJ3" s="154"/>
      <c r="AK3" s="154"/>
      <c r="AL3" s="421">
        <v>40237</v>
      </c>
      <c r="AM3" s="154">
        <f>HLOOKUP(AM$1,'Asset Returns'!$F$1:$ZS$109,ROW(),0)</f>
        <v>2.7355086178615373E-3</v>
      </c>
      <c r="AN3" s="154">
        <f>HLOOKUP(AN$1,'Asset Returns'!$F$1:$ZS$109,ROW(),0)</f>
        <v>-6.4931887917356601E-3</v>
      </c>
      <c r="AO3" s="273">
        <f ca="1">IF(IF(Bonds!$J$10="no",AQ3,AS3)=0,NA(),IF(Bonds!$J$10="no",AQ3,AS3))</f>
        <v>-0.12498736259259137</v>
      </c>
      <c r="AP3" s="273">
        <f ca="1">IF(IF(Bonds!$J$10="no",AR3,AT3)=0,NA(),IF(Bonds!$J$10="no",AR3,AT3))</f>
        <v>0.19970923689173462</v>
      </c>
      <c r="AQ3" s="273">
        <f ca="1">Bonds!$P$32</f>
        <v>-0.12498736259259137</v>
      </c>
      <c r="AR3" s="273">
        <f ca="1">Bonds!$P$34</f>
        <v>0.19970923689173462</v>
      </c>
      <c r="AS3" s="154"/>
      <c r="AU3" s="154"/>
      <c r="AV3" s="421">
        <v>40237</v>
      </c>
      <c r="AW3" s="154">
        <f>HLOOKUP(AW$1,'Asset Returns'!$F$1:$ZS$109,ROW(),0)</f>
        <v>7.1111099999999997E-2</v>
      </c>
      <c r="AX3" s="154">
        <f>HLOOKUP(AX$1,'Asset Returns'!$F$1:$ZS$109,ROW(),0)</f>
        <v>1.3324800000000001E-2</v>
      </c>
      <c r="AY3" s="154">
        <f>HLOOKUP(AY$1,'Asset Returns'!$F$1:$ZS$109,ROW(),0)</f>
        <v>-2.576999E-2</v>
      </c>
      <c r="AZ3" s="154">
        <f>HLOOKUP(AZ$1,'Asset Returns'!$F$1:$ZS$109,ROW(),0)</f>
        <v>-1.0441869999999999E-2</v>
      </c>
      <c r="BA3" s="154">
        <f>HLOOKUP(BA$1,'Asset Returns'!$F$1:$ZS$109,ROW(),0)</f>
        <v>-5.4347800000000002E-2</v>
      </c>
      <c r="BB3" s="273" t="e">
        <f>IF(IF(Funds!$J$10="no",BG3,BL3)=0,NA(),IF(Funds!$J$10="no",BG3,BL3))</f>
        <v>#N/A</v>
      </c>
      <c r="BC3" s="273" t="e">
        <f>IF(IF(Funds!$J$10="no",BH3,BM3)=0,NA(),IF(Funds!$J$10="no",BH3,BM3))</f>
        <v>#N/A</v>
      </c>
      <c r="BD3" s="273" t="e">
        <f>IF(IF(Funds!$J$10="no",BI3,BN3)=0,NA(),IF(Funds!$J$10="no",BI3,BN3))</f>
        <v>#N/A</v>
      </c>
      <c r="BE3" s="273" t="e">
        <f>IF(IF(Funds!$J$10="no",BJ3,BO3)=0,NA(),IF(Funds!$J$10="no",BJ3,BO3))</f>
        <v>#N/A</v>
      </c>
      <c r="BF3" s="273" t="e">
        <f>IF(IF(Funds!$J$10="no",BK3,BP3)=0,NA(),IF(Funds!$J$10="no",BK3,BP3))</f>
        <v>#N/A</v>
      </c>
      <c r="BG3" s="274">
        <f ca="1">Funds!$R$34</f>
        <v>2.5919346055080732</v>
      </c>
      <c r="BH3" s="274">
        <f ca="1">Funds!$R$36</f>
        <v>1.3378677483181089E-2</v>
      </c>
      <c r="BI3" s="274">
        <f ca="1">Funds!$R$38</f>
        <v>-0.15972963753204919</v>
      </c>
      <c r="BJ3" s="274">
        <f ca="1">Funds!$R$40</f>
        <v>-0.16887551350866659</v>
      </c>
      <c r="BK3" s="274">
        <f ca="1">Funds!$R$42</f>
        <v>-1.9222891726906419</v>
      </c>
      <c r="BL3" s="154"/>
      <c r="BN3" s="154"/>
      <c r="BP3" s="154"/>
      <c r="BR3" s="154" t="s">
        <v>31</v>
      </c>
      <c r="BS3" s="158">
        <v>-4.1680799999999997E-2</v>
      </c>
      <c r="BT3" s="154"/>
      <c r="BU3" s="276" t="s">
        <v>8</v>
      </c>
      <c r="BV3" s="277">
        <f>Sectors!O21</f>
        <v>-1.1554639</v>
      </c>
      <c r="BW3" s="277">
        <f>Sectors!O20</f>
        <v>-1.0288432000000001</v>
      </c>
      <c r="BX3" s="277">
        <f>Sectors!O19</f>
        <v>-1.0369504</v>
      </c>
      <c r="BY3" s="277">
        <f>Sectors!O18</f>
        <v>-0.96835437000000002</v>
      </c>
      <c r="BZ3" s="277">
        <f>Sectors!O17</f>
        <v>-1.2367927999999999</v>
      </c>
      <c r="CA3" s="277">
        <f>Sectors!O16</f>
        <v>-1.1593078000000001</v>
      </c>
      <c r="CB3" s="277">
        <f>Sectors!O15</f>
        <v>-1.1941406000000001</v>
      </c>
      <c r="CC3" s="277">
        <f>Sectors!O14</f>
        <v>-1.2249846</v>
      </c>
      <c r="CD3" s="277">
        <f>Sectors!O13</f>
        <v>-1.0341395</v>
      </c>
      <c r="CE3" s="277">
        <f>Sectors!O12</f>
        <v>-1.4823716</v>
      </c>
      <c r="CF3" s="277">
        <f>Sectors!O11</f>
        <v>-1.4094835999999999</v>
      </c>
      <c r="CH3" s="153" t="s">
        <v>32</v>
      </c>
      <c r="CI3" s="157">
        <v>0.22670779999999999</v>
      </c>
      <c r="CJ3" s="153" t="str">
        <f>VLOOKUP(CH3,$BR$3:$BR$78,1,0)</f>
        <v>Argentina</v>
      </c>
      <c r="CK3" s="154" t="s">
        <v>32</v>
      </c>
      <c r="CL3" s="157">
        <v>0.19205729999999999</v>
      </c>
      <c r="CM3" s="153" t="str">
        <f>VLOOKUP(CK3,$BR$3:$BR$78,1,0)</f>
        <v>Argentina</v>
      </c>
      <c r="CO3" s="209" t="s">
        <v>32</v>
      </c>
      <c r="CP3" s="158">
        <v>0.22670779999999999</v>
      </c>
      <c r="CQ3" s="209"/>
      <c r="CR3" s="210" t="s">
        <v>32</v>
      </c>
      <c r="CS3" s="157">
        <v>0.19205729999999999</v>
      </c>
    </row>
    <row r="4" spans="1:98">
      <c r="F4" s="421">
        <v>40268</v>
      </c>
      <c r="G4" s="272">
        <f>BMG!F4</f>
        <v>8.2559999999999995E-3</v>
      </c>
      <c r="H4" s="272"/>
      <c r="I4" s="272"/>
      <c r="J4" s="272"/>
      <c r="K4" s="272"/>
      <c r="L4" s="272"/>
      <c r="M4" s="272"/>
      <c r="N4" s="272">
        <f t="shared" si="15"/>
        <v>5.7604419055301559E-3</v>
      </c>
      <c r="O4" s="272"/>
      <c r="P4" s="421">
        <v>40268</v>
      </c>
      <c r="Q4" s="154">
        <f>HLOOKUP(Q$1,'Asset Returns'!$F$1:$N$109,ROW(),0)</f>
        <v>9.3996740877628326E-2</v>
      </c>
      <c r="R4" s="154">
        <f>HLOOKUP(R$1,'Asset Returns'!$F$1:$N$109,ROW(),0)</f>
        <v>7.6609976589679718E-2</v>
      </c>
      <c r="S4" s="154">
        <f>HLOOKUP(S$1,'Asset Returns'!$F$1:$N$109,ROW(),0)</f>
        <v>7.325301319360733E-2</v>
      </c>
      <c r="T4" s="154">
        <f>HLOOKUP(T$1,'Asset Returns'!$F$1:$N$109,ROW(),0)</f>
        <v>8.4718689322471619E-3</v>
      </c>
      <c r="U4" s="154">
        <f>HLOOKUP(U$1,'Asset Returns'!$F$1:$N$109,ROW(),0)</f>
        <v>2.067922055721283E-2</v>
      </c>
      <c r="V4" s="273" t="e">
        <f>IF(IF(Equity!$J$10="no",AA4,AF4)=0,NA(),IF(Equity!$J$10="no",AA4,AF4))</f>
        <v>#N/A</v>
      </c>
      <c r="W4" s="273" t="e">
        <f>IF(IF(Equity!$J$10="no",AB4,AG4)=0,NA(),IF(Equity!$J$10="no",AB4,AG4))</f>
        <v>#N/A</v>
      </c>
      <c r="X4" s="273" t="e">
        <f>IF(IF(Equity!$J$10="no",AC4,AH4)=0,NA(),IF(Equity!$J$10="no",AC4,AH4))</f>
        <v>#N/A</v>
      </c>
      <c r="Y4" s="273" t="e">
        <f>IF(IF(Equity!$J$10="no",AD4,AI4)=0,NA(),IF(Equity!$J$10="no",AD4,AI4))</f>
        <v>#N/A</v>
      </c>
      <c r="Z4" s="273" t="e">
        <f>IF(IF(Equity!$J$10="no",AE4,AJ4)=0,NA(),IF(Equity!$J$10="no",AE4,AJ4))</f>
        <v>#N/A</v>
      </c>
      <c r="AA4" s="274">
        <f ca="1">Equity!$R$34</f>
        <v>0.64097224418739052</v>
      </c>
      <c r="AB4" s="274">
        <f ca="1">Equity!$R$36</f>
        <v>-0.78557102570241866</v>
      </c>
      <c r="AC4" s="274">
        <f ca="1">Equity!$R$38</f>
        <v>0.9378377404978776</v>
      </c>
      <c r="AD4" s="274">
        <f ca="1">Equity!$R$40</f>
        <v>0.17519882647973573</v>
      </c>
      <c r="AE4" s="274">
        <f ca="1">Equity!$R$42</f>
        <v>7.3760094442444454E-2</v>
      </c>
      <c r="AF4" s="154"/>
      <c r="AH4" s="154"/>
      <c r="AJ4" s="154"/>
      <c r="AK4" s="154"/>
      <c r="AL4" s="421">
        <v>40268</v>
      </c>
      <c r="AM4" s="154">
        <f>HLOOKUP(AM$1,'Asset Returns'!$F$1:$ZS$109,ROW(),0)</f>
        <v>-3.9259702934913987E-3</v>
      </c>
      <c r="AN4" s="154">
        <f>HLOOKUP(AN$1,'Asset Returns'!$F$1:$ZS$109,ROW(),0)</f>
        <v>2.5952555155335455E-2</v>
      </c>
      <c r="AO4" s="273">
        <f ca="1">IF(IF(Bonds!$J$10="no",AQ4,AS4)=0,NA(),IF(Bonds!$J$10="no",AQ4,AS4))</f>
        <v>-0.12498736259259137</v>
      </c>
      <c r="AP4" s="273">
        <f ca="1">IF(IF(Bonds!$J$10="no",AR4,AT4)=0,NA(),IF(Bonds!$J$10="no",AR4,AT4))</f>
        <v>0.19970923689173462</v>
      </c>
      <c r="AQ4" s="273">
        <f ca="1">Bonds!$P$32</f>
        <v>-0.12498736259259137</v>
      </c>
      <c r="AR4" s="273">
        <f ca="1">Bonds!$P$34</f>
        <v>0.19970923689173462</v>
      </c>
      <c r="AS4" s="154"/>
      <c r="AU4" s="154"/>
      <c r="AV4" s="421">
        <v>40268</v>
      </c>
      <c r="AW4" s="154">
        <f>HLOOKUP(AW$1,'Asset Returns'!$F$1:$ZS$109,ROW(),0)</f>
        <v>4.9199799999999995E-2</v>
      </c>
      <c r="AX4" s="154">
        <f>HLOOKUP(AX$1,'Asset Returns'!$F$1:$ZS$109,ROW(),0)</f>
        <v>6.1012299999999998E-2</v>
      </c>
      <c r="AY4" s="154">
        <f>HLOOKUP(AY$1,'Asset Returns'!$F$1:$ZS$109,ROW(),0)</f>
        <v>7.0667920000000009E-2</v>
      </c>
      <c r="AZ4" s="154">
        <f>HLOOKUP(AZ$1,'Asset Returns'!$F$1:$ZS$109,ROW(),0)</f>
        <v>6.5119070000000001E-2</v>
      </c>
      <c r="BA4" s="154">
        <f>HLOOKUP(BA$1,'Asset Returns'!$F$1:$ZS$109,ROW(),0)</f>
        <v>-6.2068999999999999E-2</v>
      </c>
      <c r="BB4" s="273" t="e">
        <f>IF(IF(Funds!$J$10="no",BG4,BL4)=0,NA(),IF(Funds!$J$10="no",BG4,BL4))</f>
        <v>#N/A</v>
      </c>
      <c r="BC4" s="273" t="e">
        <f>IF(IF(Funds!$J$10="no",BH4,BM4)=0,NA(),IF(Funds!$J$10="no",BH4,BM4))</f>
        <v>#N/A</v>
      </c>
      <c r="BD4" s="273" t="e">
        <f>IF(IF(Funds!$J$10="no",BI4,BN4)=0,NA(),IF(Funds!$J$10="no",BI4,BN4))</f>
        <v>#N/A</v>
      </c>
      <c r="BE4" s="273" t="e">
        <f>IF(IF(Funds!$J$10="no",BJ4,BO4)=0,NA(),IF(Funds!$J$10="no",BJ4,BO4))</f>
        <v>#N/A</v>
      </c>
      <c r="BF4" s="273" t="e">
        <f>IF(IF(Funds!$J$10="no",BK4,BP4)=0,NA(),IF(Funds!$J$10="no",BK4,BP4))</f>
        <v>#N/A</v>
      </c>
      <c r="BG4" s="274">
        <f ca="1">Funds!$R$34</f>
        <v>2.5919346055080732</v>
      </c>
      <c r="BH4" s="274">
        <f ca="1">Funds!$R$36</f>
        <v>1.3378677483181089E-2</v>
      </c>
      <c r="BI4" s="274">
        <f ca="1">Funds!$R$38</f>
        <v>-0.15972963753204919</v>
      </c>
      <c r="BJ4" s="274">
        <f ca="1">Funds!$R$40</f>
        <v>-0.16887551350866659</v>
      </c>
      <c r="BK4" s="274">
        <f ca="1">Funds!$R$42</f>
        <v>-1.9222891726906419</v>
      </c>
      <c r="BL4" s="154"/>
      <c r="BN4" s="154"/>
      <c r="BP4" s="154"/>
      <c r="BR4" s="154" t="s">
        <v>32</v>
      </c>
      <c r="BS4" s="158">
        <v>0.16327320000000001</v>
      </c>
      <c r="BT4" s="154"/>
      <c r="BU4" s="276" t="s">
        <v>108</v>
      </c>
      <c r="BV4" s="277">
        <f>Sectors!P21</f>
        <v>5.0099100000000001E-2</v>
      </c>
      <c r="BW4" s="277">
        <f>Sectors!P20</f>
        <v>-4.4764600000000002E-2</v>
      </c>
      <c r="BX4" s="277">
        <f>Sectors!P19</f>
        <v>-0.19535250000000001</v>
      </c>
      <c r="BY4" s="277">
        <f>Sectors!P18</f>
        <v>-0.20789750000000001</v>
      </c>
      <c r="BZ4" s="277">
        <f>Sectors!P17</f>
        <v>-0.29418169999999999</v>
      </c>
      <c r="CA4" s="277">
        <f>Sectors!P16</f>
        <v>-0.32667479999999999</v>
      </c>
      <c r="CB4" s="277">
        <f>Sectors!P15</f>
        <v>-0.30464869999999999</v>
      </c>
      <c r="CC4" s="277">
        <f>Sectors!P14</f>
        <v>-0.34198309999999998</v>
      </c>
      <c r="CD4" s="277">
        <f>Sectors!P13</f>
        <v>-0.26536500000000002</v>
      </c>
      <c r="CE4" s="277">
        <f>Sectors!P12</f>
        <v>-0.40551619999999999</v>
      </c>
      <c r="CF4" s="277">
        <f>Sectors!P11</f>
        <v>-0.39610879999999998</v>
      </c>
      <c r="CH4" s="153" t="s">
        <v>34</v>
      </c>
      <c r="CI4" s="157">
        <v>0.2057081</v>
      </c>
      <c r="CJ4" s="153" t="str">
        <f t="shared" ref="CJ4:CJ67" si="16">VLOOKUP(CH4,$BR$3:$BR$78,1,0)</f>
        <v>Australia</v>
      </c>
      <c r="CK4" s="154" t="s">
        <v>34</v>
      </c>
      <c r="CL4" s="159">
        <v>0.22860730000000001</v>
      </c>
      <c r="CM4" s="153" t="str">
        <f t="shared" ref="CM4:CM67" si="17">VLOOKUP(CK4,$BR$3:$BR$78,1,0)</f>
        <v>Australia</v>
      </c>
      <c r="CO4" s="209" t="s">
        <v>34</v>
      </c>
      <c r="CP4" s="158">
        <v>0.2057081</v>
      </c>
      <c r="CQ4" s="209"/>
      <c r="CR4" s="210" t="s">
        <v>34</v>
      </c>
      <c r="CS4" s="157">
        <v>0.22860730000000001</v>
      </c>
    </row>
    <row r="5" spans="1:98">
      <c r="F5" s="421">
        <v>40298</v>
      </c>
      <c r="G5" s="272">
        <f>BMG!F5</f>
        <v>5.1735000000000001E-3</v>
      </c>
      <c r="H5" s="272"/>
      <c r="I5" s="272"/>
      <c r="J5" s="272"/>
      <c r="K5" s="272"/>
      <c r="L5" s="272"/>
      <c r="M5" s="272"/>
      <c r="N5" s="272">
        <f t="shared" si="15"/>
        <v>1.0963743551728466E-2</v>
      </c>
      <c r="O5" s="272"/>
      <c r="P5" s="421">
        <v>40298</v>
      </c>
      <c r="Q5" s="154">
        <f>HLOOKUP(Q$1,'Asset Returns'!$F$1:$N$109,ROW(),0)</f>
        <v>0.16543342173099518</v>
      </c>
      <c r="R5" s="154">
        <f>HLOOKUP(R$1,'Asset Returns'!$F$1:$N$109,ROW(),0)</f>
        <v>-2.7397241443395615E-2</v>
      </c>
      <c r="S5" s="154">
        <f>HLOOKUP(S$1,'Asset Returns'!$F$1:$N$109,ROW(),0)</f>
        <v>-6.8571537733078003E-2</v>
      </c>
      <c r="T5" s="154">
        <f>HLOOKUP(T$1,'Asset Returns'!$F$1:$N$109,ROW(),0)</f>
        <v>5.7479594834148884E-3</v>
      </c>
      <c r="U5" s="154">
        <f>HLOOKUP(U$1,'Asset Returns'!$F$1:$N$109,ROW(),0)</f>
        <v>-5.0142411142587662E-2</v>
      </c>
      <c r="V5" s="273" t="e">
        <f>IF(IF(Equity!$J$10="no",AA5,AF5)=0,NA(),IF(Equity!$J$10="no",AA5,AF5))</f>
        <v>#N/A</v>
      </c>
      <c r="W5" s="273" t="e">
        <f>IF(IF(Equity!$J$10="no",AB5,AG5)=0,NA(),IF(Equity!$J$10="no",AB5,AG5))</f>
        <v>#N/A</v>
      </c>
      <c r="X5" s="273" t="e">
        <f>IF(IF(Equity!$J$10="no",AC5,AH5)=0,NA(),IF(Equity!$J$10="no",AC5,AH5))</f>
        <v>#N/A</v>
      </c>
      <c r="Y5" s="273" t="e">
        <f>IF(IF(Equity!$J$10="no",AD5,AI5)=0,NA(),IF(Equity!$J$10="no",AD5,AI5))</f>
        <v>#N/A</v>
      </c>
      <c r="Z5" s="273" t="e">
        <f>IF(IF(Equity!$J$10="no",AE5,AJ5)=0,NA(),IF(Equity!$J$10="no",AE5,AJ5))</f>
        <v>#N/A</v>
      </c>
      <c r="AA5" s="274">
        <f ca="1">Equity!$R$34</f>
        <v>0.64097224418739052</v>
      </c>
      <c r="AB5" s="274">
        <f ca="1">Equity!$R$36</f>
        <v>-0.78557102570241866</v>
      </c>
      <c r="AC5" s="274">
        <f ca="1">Equity!$R$38</f>
        <v>0.9378377404978776</v>
      </c>
      <c r="AD5" s="274">
        <f ca="1">Equity!$R$40</f>
        <v>0.17519882647973573</v>
      </c>
      <c r="AE5" s="274">
        <f ca="1">Equity!$R$42</f>
        <v>7.3760094442444454E-2</v>
      </c>
      <c r="AF5" s="154"/>
      <c r="AH5" s="154"/>
      <c r="AJ5" s="154"/>
      <c r="AK5" s="154"/>
      <c r="AL5" s="421">
        <v>40298</v>
      </c>
      <c r="AM5" s="154">
        <f>HLOOKUP(AM$1,'Asset Returns'!$F$1:$ZS$109,ROW(),0)</f>
        <v>2.3466752906815103E-2</v>
      </c>
      <c r="AN5" s="154">
        <f>HLOOKUP(AN$1,'Asset Returns'!$F$1:$ZS$109,ROW(),0)</f>
        <v>3.4100649372913017E-2</v>
      </c>
      <c r="AO5" s="273">
        <f ca="1">IF(IF(Bonds!$J$10="no",AQ5,AS5)=0,NA(),IF(Bonds!$J$10="no",AQ5,AS5))</f>
        <v>-0.12498736259259137</v>
      </c>
      <c r="AP5" s="273">
        <f ca="1">IF(IF(Bonds!$J$10="no",AR5,AT5)=0,NA(),IF(Bonds!$J$10="no",AR5,AT5))</f>
        <v>0.19970923689173462</v>
      </c>
      <c r="AQ5" s="273">
        <f ca="1">Bonds!$P$32</f>
        <v>-0.12498736259259137</v>
      </c>
      <c r="AR5" s="273">
        <f ca="1">Bonds!$P$34</f>
        <v>0.19970923689173462</v>
      </c>
      <c r="AS5" s="154"/>
      <c r="AU5" s="154"/>
      <c r="AV5" s="421">
        <v>40298</v>
      </c>
      <c r="AW5" s="154">
        <f>HLOOKUP(AW$1,'Asset Returns'!$F$1:$ZS$109,ROW(),0)</f>
        <v>9.8305100000000006E-2</v>
      </c>
      <c r="AX5" s="154">
        <f>HLOOKUP(AX$1,'Asset Returns'!$F$1:$ZS$109,ROW(),0)</f>
        <v>-5.9099999999999995E-4</v>
      </c>
      <c r="AY5" s="154">
        <f>HLOOKUP(AY$1,'Asset Returns'!$F$1:$ZS$109,ROW(),0)</f>
        <v>-2.7672150000000003E-2</v>
      </c>
      <c r="AZ5" s="154">
        <f>HLOOKUP(AZ$1,'Asset Returns'!$F$1:$ZS$109,ROW(),0)</f>
        <v>-4.1016999999999996E-4</v>
      </c>
      <c r="BA5" s="154">
        <f>HLOOKUP(BA$1,'Asset Returns'!$F$1:$ZS$109,ROW(),0)</f>
        <v>-9.3790800000000007E-2</v>
      </c>
      <c r="BB5" s="273" t="e">
        <f>IF(IF(Funds!$J$10="no",BG5,BL5)=0,NA(),IF(Funds!$J$10="no",BG5,BL5))</f>
        <v>#N/A</v>
      </c>
      <c r="BC5" s="273" t="e">
        <f>IF(IF(Funds!$J$10="no",BH5,BM5)=0,NA(),IF(Funds!$J$10="no",BH5,BM5))</f>
        <v>#N/A</v>
      </c>
      <c r="BD5" s="273" t="e">
        <f>IF(IF(Funds!$J$10="no",BI5,BN5)=0,NA(),IF(Funds!$J$10="no",BI5,BN5))</f>
        <v>#N/A</v>
      </c>
      <c r="BE5" s="273" t="e">
        <f>IF(IF(Funds!$J$10="no",BJ5,BO5)=0,NA(),IF(Funds!$J$10="no",BJ5,BO5))</f>
        <v>#N/A</v>
      </c>
      <c r="BF5" s="273" t="e">
        <f>IF(IF(Funds!$J$10="no",BK5,BP5)=0,NA(),IF(Funds!$J$10="no",BK5,BP5))</f>
        <v>#N/A</v>
      </c>
      <c r="BG5" s="274">
        <f ca="1">Funds!$R$34</f>
        <v>2.5919346055080732</v>
      </c>
      <c r="BH5" s="274">
        <f ca="1">Funds!$R$36</f>
        <v>1.3378677483181089E-2</v>
      </c>
      <c r="BI5" s="274">
        <f ca="1">Funds!$R$38</f>
        <v>-0.15972963753204919</v>
      </c>
      <c r="BJ5" s="274">
        <f ca="1">Funds!$R$40</f>
        <v>-0.16887551350866659</v>
      </c>
      <c r="BK5" s="274">
        <f ca="1">Funds!$R$42</f>
        <v>-1.9222891726906419</v>
      </c>
      <c r="BL5" s="154"/>
      <c r="BN5" s="154"/>
      <c r="BP5" s="154"/>
      <c r="BR5" s="154" t="s">
        <v>33</v>
      </c>
      <c r="BS5" s="158">
        <v>-0.43778089999999997</v>
      </c>
      <c r="BT5" s="154"/>
      <c r="BU5" s="276" t="s">
        <v>17</v>
      </c>
      <c r="BV5" s="277">
        <f>Sectors!Q21</f>
        <v>0.31806600000000002</v>
      </c>
      <c r="BW5" s="277">
        <f>Sectors!Q20</f>
        <v>0.2489459</v>
      </c>
      <c r="BX5" s="277">
        <f>Sectors!Q19</f>
        <v>0.1596543</v>
      </c>
      <c r="BY5" s="277">
        <f>Sectors!Q18</f>
        <v>8.9649099999999995E-2</v>
      </c>
      <c r="BZ5" s="277">
        <f>Sectors!Q17</f>
        <v>8.4021899999999997E-2</v>
      </c>
      <c r="CA5" s="277">
        <f>Sectors!Q16</f>
        <v>6.6654500000000005E-2</v>
      </c>
      <c r="CB5" s="277">
        <f>Sectors!Q15</f>
        <v>5.1864100000000003E-2</v>
      </c>
      <c r="CC5" s="277">
        <f>Sectors!Q14</f>
        <v>4.2600800000000001E-2</v>
      </c>
      <c r="CD5" s="277">
        <f>Sectors!Q13</f>
        <v>3.41734E-2</v>
      </c>
      <c r="CE5" s="277">
        <f>Sectors!Q12</f>
        <v>2.9117899999999999E-2</v>
      </c>
      <c r="CF5" s="277">
        <f>Sectors!Q11</f>
        <v>8.9412999999999992E-3</v>
      </c>
      <c r="CH5" s="155" t="s">
        <v>33</v>
      </c>
      <c r="CI5" s="159">
        <v>-0.43143619999999999</v>
      </c>
      <c r="CJ5" s="153" t="str">
        <f t="shared" si="16"/>
        <v>Austria</v>
      </c>
      <c r="CK5" s="156" t="s">
        <v>33</v>
      </c>
      <c r="CL5" s="159">
        <v>-0.42584100000000003</v>
      </c>
      <c r="CM5" s="153" t="str">
        <f t="shared" si="17"/>
        <v>Austria</v>
      </c>
      <c r="CO5" s="209" t="s">
        <v>33</v>
      </c>
      <c r="CP5" s="158">
        <v>-0.43143619999999999</v>
      </c>
      <c r="CQ5" s="209"/>
      <c r="CR5" s="210" t="s">
        <v>33</v>
      </c>
      <c r="CS5" s="157">
        <v>-0.42584100000000003</v>
      </c>
    </row>
    <row r="6" spans="1:98">
      <c r="F6" s="421">
        <v>40329</v>
      </c>
      <c r="G6" s="272">
        <f>BMG!F6</f>
        <v>3.0423999999999998E-3</v>
      </c>
      <c r="H6" s="272"/>
      <c r="I6" s="272"/>
      <c r="J6" s="272"/>
      <c r="K6" s="272"/>
      <c r="L6" s="272"/>
      <c r="M6" s="272"/>
      <c r="N6" s="272">
        <f t="shared" si="15"/>
        <v>1.4039499645110309E-2</v>
      </c>
      <c r="O6" s="272"/>
      <c r="P6" s="421">
        <v>40329</v>
      </c>
      <c r="Q6" s="154">
        <f>HLOOKUP(Q$1,'Asset Returns'!$F$1:$N$109,ROW(),0)</f>
        <v>-0.17228613793849945</v>
      </c>
      <c r="R6" s="154">
        <f>HLOOKUP(R$1,'Asset Returns'!$F$1:$N$109,ROW(),0)</f>
        <v>-7.590186595916748E-2</v>
      </c>
      <c r="S6" s="154">
        <f>HLOOKUP(S$1,'Asset Returns'!$F$1:$N$109,ROW(),0)</f>
        <v>-0.18396106362342834</v>
      </c>
      <c r="T6" s="154">
        <f>HLOOKUP(T$1,'Asset Returns'!$F$1:$N$109,ROW(),0)</f>
        <v>-2.399899996817112E-2</v>
      </c>
      <c r="U6" s="154">
        <f>HLOOKUP(U$1,'Asset Returns'!$F$1:$N$109,ROW(),0)</f>
        <v>-4.5338097959756851E-2</v>
      </c>
      <c r="V6" s="273" t="e">
        <f>IF(IF(Equity!$J$10="no",AA6,AF6)=0,NA(),IF(Equity!$J$10="no",AA6,AF6))</f>
        <v>#N/A</v>
      </c>
      <c r="W6" s="273" t="e">
        <f>IF(IF(Equity!$J$10="no",AB6,AG6)=0,NA(),IF(Equity!$J$10="no",AB6,AG6))</f>
        <v>#N/A</v>
      </c>
      <c r="X6" s="273" t="e">
        <f>IF(IF(Equity!$J$10="no",AC6,AH6)=0,NA(),IF(Equity!$J$10="no",AC6,AH6))</f>
        <v>#N/A</v>
      </c>
      <c r="Y6" s="273" t="e">
        <f>IF(IF(Equity!$J$10="no",AD6,AI6)=0,NA(),IF(Equity!$J$10="no",AD6,AI6))</f>
        <v>#N/A</v>
      </c>
      <c r="Z6" s="273" t="e">
        <f>IF(IF(Equity!$J$10="no",AE6,AJ6)=0,NA(),IF(Equity!$J$10="no",AE6,AJ6))</f>
        <v>#N/A</v>
      </c>
      <c r="AA6" s="274">
        <f ca="1">Equity!$R$34</f>
        <v>0.64097224418739052</v>
      </c>
      <c r="AB6" s="274">
        <f ca="1">Equity!$R$36</f>
        <v>-0.78557102570241866</v>
      </c>
      <c r="AC6" s="274">
        <f ca="1">Equity!$R$38</f>
        <v>0.9378377404978776</v>
      </c>
      <c r="AD6" s="274">
        <f ca="1">Equity!$R$40</f>
        <v>0.17519882647973573</v>
      </c>
      <c r="AE6" s="274">
        <f ca="1">Equity!$R$42</f>
        <v>7.3760094442444454E-2</v>
      </c>
      <c r="AF6" s="154"/>
      <c r="AH6" s="154"/>
      <c r="AJ6" s="154"/>
      <c r="AK6" s="154"/>
      <c r="AL6" s="421">
        <v>40329</v>
      </c>
      <c r="AM6" s="154">
        <f>HLOOKUP(AM$1,'Asset Returns'!$F$1:$ZS$109,ROW(),0)</f>
        <v>1.4643948632622639E-2</v>
      </c>
      <c r="AN6" s="154">
        <f>HLOOKUP(AN$1,'Asset Returns'!$F$1:$ZS$109,ROW(),0)</f>
        <v>1.709481055130424E-2</v>
      </c>
      <c r="AO6" s="273">
        <f ca="1">IF(IF(Bonds!$J$10="no",AQ6,AS6)=0,NA(),IF(Bonds!$J$10="no",AQ6,AS6))</f>
        <v>-0.12498736259259137</v>
      </c>
      <c r="AP6" s="273">
        <f ca="1">IF(IF(Bonds!$J$10="no",AR6,AT6)=0,NA(),IF(Bonds!$J$10="no",AR6,AT6))</f>
        <v>0.19970923689173462</v>
      </c>
      <c r="AQ6" s="273">
        <f ca="1">Bonds!$P$32</f>
        <v>-0.12498736259259137</v>
      </c>
      <c r="AR6" s="273">
        <f ca="1">Bonds!$P$34</f>
        <v>0.19970923689173462</v>
      </c>
      <c r="AS6" s="154"/>
      <c r="AU6" s="154"/>
      <c r="AV6" s="421">
        <v>40329</v>
      </c>
      <c r="AW6" s="154">
        <f>HLOOKUP(AW$1,'Asset Returns'!$F$1:$ZS$109,ROW(),0)</f>
        <v>-7.8703700000000001E-2</v>
      </c>
      <c r="AX6" s="154">
        <f>HLOOKUP(AX$1,'Asset Returns'!$F$1:$ZS$109,ROW(),0)</f>
        <v>-9.5416399999999998E-2</v>
      </c>
      <c r="AY6" s="154">
        <f>HLOOKUP(AY$1,'Asset Returns'!$F$1:$ZS$109,ROW(),0)</f>
        <v>-0.13201897000000001</v>
      </c>
      <c r="AZ6" s="154">
        <f>HLOOKUP(AZ$1,'Asset Returns'!$F$1:$ZS$109,ROW(),0)</f>
        <v>-8.6948620000000004E-2</v>
      </c>
      <c r="BA6" s="154">
        <f>HLOOKUP(BA$1,'Asset Returns'!$F$1:$ZS$109,ROW(),0)</f>
        <v>0.24468090000000001</v>
      </c>
      <c r="BB6" s="273" t="e">
        <f>IF(IF(Funds!$J$10="no",BG6,BL6)=0,NA(),IF(Funds!$J$10="no",BG6,BL6))</f>
        <v>#N/A</v>
      </c>
      <c r="BC6" s="273" t="e">
        <f>IF(IF(Funds!$J$10="no",BH6,BM6)=0,NA(),IF(Funds!$J$10="no",BH6,BM6))</f>
        <v>#N/A</v>
      </c>
      <c r="BD6" s="273" t="e">
        <f>IF(IF(Funds!$J$10="no",BI6,BN6)=0,NA(),IF(Funds!$J$10="no",BI6,BN6))</f>
        <v>#N/A</v>
      </c>
      <c r="BE6" s="273" t="e">
        <f>IF(IF(Funds!$J$10="no",BJ6,BO6)=0,NA(),IF(Funds!$J$10="no",BJ6,BO6))</f>
        <v>#N/A</v>
      </c>
      <c r="BF6" s="273" t="e">
        <f>IF(IF(Funds!$J$10="no",BK6,BP6)=0,NA(),IF(Funds!$J$10="no",BK6,BP6))</f>
        <v>#N/A</v>
      </c>
      <c r="BG6" s="274">
        <f ca="1">Funds!$R$34</f>
        <v>2.5919346055080732</v>
      </c>
      <c r="BH6" s="274">
        <f ca="1">Funds!$R$36</f>
        <v>1.3378677483181089E-2</v>
      </c>
      <c r="BI6" s="274">
        <f ca="1">Funds!$R$38</f>
        <v>-0.15972963753204919</v>
      </c>
      <c r="BJ6" s="274">
        <f ca="1">Funds!$R$40</f>
        <v>-0.16887551350866659</v>
      </c>
      <c r="BK6" s="274">
        <f ca="1">Funds!$R$42</f>
        <v>-1.9222891726906419</v>
      </c>
      <c r="BL6" s="154"/>
      <c r="BN6" s="154"/>
      <c r="BP6" s="154"/>
      <c r="BR6" s="154" t="s">
        <v>34</v>
      </c>
      <c r="BS6" s="158">
        <v>0.24431720000000001</v>
      </c>
      <c r="BT6" s="154"/>
      <c r="BU6" s="276" t="s">
        <v>109</v>
      </c>
      <c r="BV6" s="277">
        <f>Sectors!R21</f>
        <v>0.85872170000000003</v>
      </c>
      <c r="BW6" s="277">
        <f>Sectors!R20</f>
        <v>0.61750640000000001</v>
      </c>
      <c r="BX6" s="277">
        <f>Sectors!R19</f>
        <v>0.37437920000000002</v>
      </c>
      <c r="BY6" s="277">
        <f>Sectors!R18</f>
        <v>0.2991029</v>
      </c>
      <c r="BZ6" s="277">
        <f>Sectors!R17</f>
        <v>0.35988930000000002</v>
      </c>
      <c r="CA6" s="277">
        <f>Sectors!R16</f>
        <v>0.28156229999999999</v>
      </c>
      <c r="CB6" s="277">
        <f>Sectors!R15</f>
        <v>0.29036000000000001</v>
      </c>
      <c r="CC6" s="277">
        <f>Sectors!R14</f>
        <v>0.24960830000000001</v>
      </c>
      <c r="CD6" s="277">
        <f>Sectors!R13</f>
        <v>0.26465139999999998</v>
      </c>
      <c r="CE6" s="277">
        <f>Sectors!R12</f>
        <v>0.31621070000000001</v>
      </c>
      <c r="CF6" s="277">
        <f>Sectors!R11</f>
        <v>0.28548240000000003</v>
      </c>
      <c r="CH6" s="155" t="s">
        <v>115</v>
      </c>
      <c r="CI6" s="159">
        <v>-4.54057E-2</v>
      </c>
      <c r="CJ6" s="153" t="e">
        <f t="shared" si="16"/>
        <v>#N/A</v>
      </c>
      <c r="CK6" s="156" t="s">
        <v>115</v>
      </c>
      <c r="CL6" s="159">
        <v>2.1730800000000002E-2</v>
      </c>
      <c r="CM6" s="153" t="e">
        <f t="shared" si="17"/>
        <v>#N/A</v>
      </c>
      <c r="CO6" s="209" t="s">
        <v>35</v>
      </c>
      <c r="CP6" s="158">
        <v>-0.26898820000000001</v>
      </c>
      <c r="CQ6" s="209"/>
      <c r="CR6" s="210" t="s">
        <v>35</v>
      </c>
      <c r="CS6" s="157">
        <v>-0.24270259999999999</v>
      </c>
    </row>
    <row r="7" spans="1:98" s="155" customFormat="1">
      <c r="A7" s="153"/>
      <c r="B7" s="153"/>
      <c r="C7" s="153"/>
      <c r="D7" s="153"/>
      <c r="E7" s="153"/>
      <c r="F7" s="421">
        <v>40359</v>
      </c>
      <c r="G7" s="272">
        <f>BMG!F7</f>
        <v>-1.8381499999999999E-2</v>
      </c>
      <c r="H7" s="272"/>
      <c r="I7" s="272"/>
      <c r="J7" s="272"/>
      <c r="K7" s="272"/>
      <c r="L7" s="272"/>
      <c r="M7" s="272"/>
      <c r="N7" s="272">
        <f t="shared" si="15"/>
        <v>-4.6000674176163159E-3</v>
      </c>
      <c r="O7" s="272"/>
      <c r="P7" s="421">
        <v>40359</v>
      </c>
      <c r="Q7" s="154">
        <f>HLOOKUP(Q$1,'Asset Returns'!$F$1:$N$109,ROW(),0)</f>
        <v>2.9249850660562515E-2</v>
      </c>
      <c r="R7" s="154">
        <f>HLOOKUP(R$1,'Asset Returns'!$F$1:$N$109,ROW(),0)</f>
        <v>-3.4066189080476761E-2</v>
      </c>
      <c r="S7" s="154">
        <f>HLOOKUP(S$1,'Asset Returns'!$F$1:$N$109,ROW(),0)</f>
        <v>-0.33645686507225037</v>
      </c>
      <c r="T7" s="154">
        <f>HLOOKUP(T$1,'Asset Returns'!$F$1:$N$109,ROW(),0)</f>
        <v>-1.4310446567833424E-2</v>
      </c>
      <c r="U7" s="154">
        <f>HLOOKUP(U$1,'Asset Returns'!$F$1:$N$109,ROW(),0)</f>
        <v>-0.17622219026088715</v>
      </c>
      <c r="V7" s="273" t="e">
        <f>IF(IF(Equity!$J$10="no",AA7,AF7)=0,NA(),IF(Equity!$J$10="no",AA7,AF7))</f>
        <v>#N/A</v>
      </c>
      <c r="W7" s="273" t="e">
        <f>IF(IF(Equity!$J$10="no",AB7,AG7)=0,NA(),IF(Equity!$J$10="no",AB7,AG7))</f>
        <v>#N/A</v>
      </c>
      <c r="X7" s="273" t="e">
        <f>IF(IF(Equity!$J$10="no",AC7,AH7)=0,NA(),IF(Equity!$J$10="no",AC7,AH7))</f>
        <v>#N/A</v>
      </c>
      <c r="Y7" s="273" t="e">
        <f>IF(IF(Equity!$J$10="no",AD7,AI7)=0,NA(),IF(Equity!$J$10="no",AD7,AI7))</f>
        <v>#N/A</v>
      </c>
      <c r="Z7" s="273" t="e">
        <f>IF(IF(Equity!$J$10="no",AE7,AJ7)=0,NA(),IF(Equity!$J$10="no",AE7,AJ7))</f>
        <v>#N/A</v>
      </c>
      <c r="AA7" s="274">
        <f ca="1">Equity!$R$34</f>
        <v>0.64097224418739052</v>
      </c>
      <c r="AB7" s="274">
        <f ca="1">Equity!$R$36</f>
        <v>-0.78557102570241866</v>
      </c>
      <c r="AC7" s="274">
        <f ca="1">Equity!$R$38</f>
        <v>0.9378377404978776</v>
      </c>
      <c r="AD7" s="274">
        <f ca="1">Equity!$R$40</f>
        <v>0.17519882647973573</v>
      </c>
      <c r="AE7" s="274">
        <f ca="1">Equity!$R$42</f>
        <v>7.3760094442444454E-2</v>
      </c>
      <c r="AF7" s="154"/>
      <c r="AG7" s="153"/>
      <c r="AH7" s="154"/>
      <c r="AI7" s="153"/>
      <c r="AJ7" s="154"/>
      <c r="AK7" s="154"/>
      <c r="AL7" s="421">
        <v>40359</v>
      </c>
      <c r="AM7" s="154">
        <f>HLOOKUP(AM$1,'Asset Returns'!$F$1:$ZS$109,ROW(),0)</f>
        <v>3.5954979635730133E-2</v>
      </c>
      <c r="AN7" s="154">
        <f>HLOOKUP(AN$1,'Asset Returns'!$F$1:$ZS$109,ROW(),0)</f>
        <v>3.2910864236165516E-2</v>
      </c>
      <c r="AO7" s="273">
        <f ca="1">IF(IF(Bonds!$J$10="no",AQ7,AS7)=0,NA(),IF(Bonds!$J$10="no",AQ7,AS7))</f>
        <v>-0.12498736259259137</v>
      </c>
      <c r="AP7" s="273">
        <f ca="1">IF(IF(Bonds!$J$10="no",AR7,AT7)=0,NA(),IF(Bonds!$J$10="no",AR7,AT7))</f>
        <v>0.19970923689173462</v>
      </c>
      <c r="AQ7" s="273">
        <f ca="1">Bonds!$P$32</f>
        <v>-0.12498736259259137</v>
      </c>
      <c r="AR7" s="273">
        <f ca="1">Bonds!$P$34</f>
        <v>0.19970923689173462</v>
      </c>
      <c r="AS7" s="154"/>
      <c r="AT7" s="153"/>
      <c r="AU7" s="154"/>
      <c r="AV7" s="421">
        <v>40359</v>
      </c>
      <c r="AW7" s="154">
        <f>HLOOKUP(AW$1,'Asset Returns'!$F$1:$ZS$109,ROW(),0)</f>
        <v>5.5829999999999996E-4</v>
      </c>
      <c r="AX7" s="154">
        <f>HLOOKUP(AX$1,'Asset Returns'!$F$1:$ZS$109,ROW(),0)</f>
        <v>-3.6556600000000002E-2</v>
      </c>
      <c r="AY7" s="154">
        <f>HLOOKUP(AY$1,'Asset Returns'!$F$1:$ZS$109,ROW(),0)</f>
        <v>8.8230299999999991E-3</v>
      </c>
      <c r="AZ7" s="154">
        <f>HLOOKUP(AZ$1,'Asset Returns'!$F$1:$ZS$109,ROW(),0)</f>
        <v>-1.2868409999999999E-2</v>
      </c>
      <c r="BA7" s="154">
        <f>HLOOKUP(BA$1,'Asset Returns'!$F$1:$ZS$109,ROW(),0)</f>
        <v>8.8512199999999999E-2</v>
      </c>
      <c r="BB7" s="273" t="e">
        <f>IF(IF(Funds!$J$10="no",BG7,BL7)=0,NA(),IF(Funds!$J$10="no",BG7,BL7))</f>
        <v>#N/A</v>
      </c>
      <c r="BC7" s="273" t="e">
        <f>IF(IF(Funds!$J$10="no",BH7,BM7)=0,NA(),IF(Funds!$J$10="no",BH7,BM7))</f>
        <v>#N/A</v>
      </c>
      <c r="BD7" s="273" t="e">
        <f>IF(IF(Funds!$J$10="no",BI7,BN7)=0,NA(),IF(Funds!$J$10="no",BI7,BN7))</f>
        <v>#N/A</v>
      </c>
      <c r="BE7" s="273" t="e">
        <f>IF(IF(Funds!$J$10="no",BJ7,BO7)=0,NA(),IF(Funds!$J$10="no",BJ7,BO7))</f>
        <v>#N/A</v>
      </c>
      <c r="BF7" s="273" t="e">
        <f>IF(IF(Funds!$J$10="no",BK7,BP7)=0,NA(),IF(Funds!$J$10="no",BK7,BP7))</f>
        <v>#N/A</v>
      </c>
      <c r="BG7" s="274">
        <f ca="1">Funds!$R$34</f>
        <v>2.5919346055080732</v>
      </c>
      <c r="BH7" s="274">
        <f ca="1">Funds!$R$36</f>
        <v>1.3378677483181089E-2</v>
      </c>
      <c r="BI7" s="274">
        <f ca="1">Funds!$R$38</f>
        <v>-0.15972963753204919</v>
      </c>
      <c r="BJ7" s="274">
        <f ca="1">Funds!$R$40</f>
        <v>-0.16887551350866659</v>
      </c>
      <c r="BK7" s="274">
        <f ca="1">Funds!$R$42</f>
        <v>-1.9222891726906419</v>
      </c>
      <c r="BL7" s="154"/>
      <c r="BM7" s="153"/>
      <c r="BN7" s="154"/>
      <c r="BO7" s="153"/>
      <c r="BP7" s="154"/>
      <c r="BQ7" s="153"/>
      <c r="BR7" s="154" t="s">
        <v>35</v>
      </c>
      <c r="BS7" s="158">
        <v>-8.95291E-2</v>
      </c>
      <c r="BT7" s="154"/>
      <c r="BU7" s="276" t="s">
        <v>9</v>
      </c>
      <c r="BV7" s="277">
        <f>Sectors!S21</f>
        <v>2.0684515999999999</v>
      </c>
      <c r="BW7" s="277">
        <f>Sectors!S20</f>
        <v>1.6050187</v>
      </c>
      <c r="BX7" s="277">
        <f>Sectors!S19</f>
        <v>1.1058698</v>
      </c>
      <c r="BY7" s="277">
        <f>Sectors!S18</f>
        <v>1.0421753</v>
      </c>
      <c r="BZ7" s="277">
        <f>Sectors!S17</f>
        <v>1.3263252000000001</v>
      </c>
      <c r="CA7" s="277">
        <f>Sectors!S16</f>
        <v>1.0814935999999999</v>
      </c>
      <c r="CB7" s="277">
        <f>Sectors!S15</f>
        <v>1.1711465000000001</v>
      </c>
      <c r="CC7" s="277">
        <f>Sectors!S14</f>
        <v>1.1188513</v>
      </c>
      <c r="CD7" s="277">
        <f>Sectors!S13</f>
        <v>1.0506384</v>
      </c>
      <c r="CE7" s="277">
        <f>Sectors!S12</f>
        <v>1.3983266000000001</v>
      </c>
      <c r="CF7" s="277">
        <f>Sectors!S11</f>
        <v>1.2668803</v>
      </c>
      <c r="CG7" s="216"/>
      <c r="CH7" s="155" t="s">
        <v>35</v>
      </c>
      <c r="CI7" s="159">
        <v>-0.26898820000000001</v>
      </c>
      <c r="CJ7" s="153" t="str">
        <f t="shared" si="16"/>
        <v>Bangladesh</v>
      </c>
      <c r="CK7" s="156" t="s">
        <v>35</v>
      </c>
      <c r="CL7" s="159">
        <v>-0.24270259999999999</v>
      </c>
      <c r="CM7" s="153" t="str">
        <f t="shared" si="17"/>
        <v>Bangladesh</v>
      </c>
      <c r="CO7" s="209" t="s">
        <v>36</v>
      </c>
      <c r="CP7" s="158">
        <v>-0.83533550000000001</v>
      </c>
      <c r="CQ7" s="209"/>
      <c r="CR7" s="210" t="s">
        <v>36</v>
      </c>
      <c r="CS7" s="157">
        <v>-0.63694980000000001</v>
      </c>
    </row>
    <row r="8" spans="1:98" s="155" customFormat="1">
      <c r="A8" s="153"/>
      <c r="B8" s="153"/>
      <c r="C8" s="153"/>
      <c r="D8" s="153"/>
      <c r="E8" s="153"/>
      <c r="F8" s="421">
        <v>40390</v>
      </c>
      <c r="G8" s="272">
        <f>BMG!F8</f>
        <v>1.3803899999999999E-2</v>
      </c>
      <c r="H8" s="272"/>
      <c r="I8" s="272"/>
      <c r="J8" s="272"/>
      <c r="K8" s="272"/>
      <c r="L8" s="272"/>
      <c r="M8" s="272"/>
      <c r="N8" s="272">
        <f t="shared" si="15"/>
        <v>9.1403337117577088E-3</v>
      </c>
      <c r="O8" s="272"/>
      <c r="P8" s="421">
        <v>40390</v>
      </c>
      <c r="Q8" s="154">
        <f>HLOOKUP(Q$1,'Asset Returns'!$F$1:$N$109,ROW(),0)</f>
        <v>8.7992705404758453E-2</v>
      </c>
      <c r="R8" s="154">
        <f>HLOOKUP(R$1,'Asset Returns'!$F$1:$N$109,ROW(),0)</f>
        <v>1.1065579950809479E-2</v>
      </c>
      <c r="S8" s="154">
        <f>HLOOKUP(S$1,'Asset Returns'!$F$1:$N$109,ROW(),0)</f>
        <v>0.33241823315620422</v>
      </c>
      <c r="T8" s="154">
        <f>HLOOKUP(T$1,'Asset Returns'!$F$1:$N$109,ROW(),0)</f>
        <v>3.9744507521390915E-2</v>
      </c>
      <c r="U8" s="154">
        <f>HLOOKUP(U$1,'Asset Returns'!$F$1:$N$109,ROW(),0)</f>
        <v>8.6543962359428406E-2</v>
      </c>
      <c r="V8" s="273" t="e">
        <f>IF(IF(Equity!$J$10="no",AA8,AF8)=0,NA(),IF(Equity!$J$10="no",AA8,AF8))</f>
        <v>#N/A</v>
      </c>
      <c r="W8" s="273" t="e">
        <f>IF(IF(Equity!$J$10="no",AB8,AG8)=0,NA(),IF(Equity!$J$10="no",AB8,AG8))</f>
        <v>#N/A</v>
      </c>
      <c r="X8" s="273" t="e">
        <f>IF(IF(Equity!$J$10="no",AC8,AH8)=0,NA(),IF(Equity!$J$10="no",AC8,AH8))</f>
        <v>#N/A</v>
      </c>
      <c r="Y8" s="273" t="e">
        <f>IF(IF(Equity!$J$10="no",AD8,AI8)=0,NA(),IF(Equity!$J$10="no",AD8,AI8))</f>
        <v>#N/A</v>
      </c>
      <c r="Z8" s="273" t="e">
        <f>IF(IF(Equity!$J$10="no",AE8,AJ8)=0,NA(),IF(Equity!$J$10="no",AE8,AJ8))</f>
        <v>#N/A</v>
      </c>
      <c r="AA8" s="274">
        <f ca="1">Equity!$R$34</f>
        <v>0.64097224418739052</v>
      </c>
      <c r="AB8" s="274">
        <f ca="1">Equity!$R$36</f>
        <v>-0.78557102570241866</v>
      </c>
      <c r="AC8" s="274">
        <f ca="1">Equity!$R$38</f>
        <v>0.9378377404978776</v>
      </c>
      <c r="AD8" s="274">
        <f ca="1">Equity!$R$40</f>
        <v>0.17519882647973573</v>
      </c>
      <c r="AE8" s="274">
        <f ca="1">Equity!$R$42</f>
        <v>7.3760094442444454E-2</v>
      </c>
      <c r="AF8" s="154"/>
      <c r="AG8" s="153"/>
      <c r="AH8" s="154"/>
      <c r="AI8" s="153"/>
      <c r="AJ8" s="154"/>
      <c r="AK8" s="154"/>
      <c r="AL8" s="421">
        <v>40390</v>
      </c>
      <c r="AM8" s="154">
        <f>HLOOKUP(AM$1,'Asset Returns'!$F$1:$ZS$109,ROW(),0)</f>
        <v>-1.96809709905299E-3</v>
      </c>
      <c r="AN8" s="154">
        <f>HLOOKUP(AN$1,'Asset Returns'!$F$1:$ZS$109,ROW(),0)</f>
        <v>-1.0938446778428479E-2</v>
      </c>
      <c r="AO8" s="273">
        <f ca="1">IF(IF(Bonds!$J$10="no",AQ8,AS8)=0,NA(),IF(Bonds!$J$10="no",AQ8,AS8))</f>
        <v>-0.12498736259259137</v>
      </c>
      <c r="AP8" s="273">
        <f ca="1">IF(IF(Bonds!$J$10="no",AR8,AT8)=0,NA(),IF(Bonds!$J$10="no",AR8,AT8))</f>
        <v>0.19970923689173462</v>
      </c>
      <c r="AQ8" s="273">
        <f ca="1">Bonds!$P$32</f>
        <v>-0.12498736259259137</v>
      </c>
      <c r="AR8" s="273">
        <f ca="1">Bonds!$P$34</f>
        <v>0.19970923689173462</v>
      </c>
      <c r="AS8" s="154"/>
      <c r="AT8" s="153"/>
      <c r="AU8" s="154"/>
      <c r="AV8" s="421">
        <v>40390</v>
      </c>
      <c r="AW8" s="154">
        <f>HLOOKUP(AW$1,'Asset Returns'!$F$1:$ZS$109,ROW(),0)</f>
        <v>-2.3995499999999999E-2</v>
      </c>
      <c r="AX8" s="154">
        <f>HLOOKUP(AX$1,'Asset Returns'!$F$1:$ZS$109,ROW(),0)</f>
        <v>8.0026100000000003E-2</v>
      </c>
      <c r="AY8" s="154">
        <f>HLOOKUP(AY$1,'Asset Returns'!$F$1:$ZS$109,ROW(),0)</f>
        <v>0.11264391</v>
      </c>
      <c r="AZ8" s="154">
        <f>HLOOKUP(AZ$1,'Asset Returns'!$F$1:$ZS$109,ROW(),0)</f>
        <v>7.4014659999999996E-2</v>
      </c>
      <c r="BA8" s="154">
        <f>HLOOKUP(BA$1,'Asset Returns'!$F$1:$ZS$109,ROW(),0)</f>
        <v>-0.15065210000000001</v>
      </c>
      <c r="BB8" s="273" t="e">
        <f>IF(IF(Funds!$J$10="no",BG8,BL8)=0,NA(),IF(Funds!$J$10="no",BG8,BL8))</f>
        <v>#N/A</v>
      </c>
      <c r="BC8" s="273" t="e">
        <f>IF(IF(Funds!$J$10="no",BH8,BM8)=0,NA(),IF(Funds!$J$10="no",BH8,BM8))</f>
        <v>#N/A</v>
      </c>
      <c r="BD8" s="273" t="e">
        <f>IF(IF(Funds!$J$10="no",BI8,BN8)=0,NA(),IF(Funds!$J$10="no",BI8,BN8))</f>
        <v>#N/A</v>
      </c>
      <c r="BE8" s="273" t="e">
        <f>IF(IF(Funds!$J$10="no",BJ8,BO8)=0,NA(),IF(Funds!$J$10="no",BJ8,BO8))</f>
        <v>#N/A</v>
      </c>
      <c r="BF8" s="273" t="e">
        <f>IF(IF(Funds!$J$10="no",BK8,BP8)=0,NA(),IF(Funds!$J$10="no",BK8,BP8))</f>
        <v>#N/A</v>
      </c>
      <c r="BG8" s="274">
        <f ca="1">Funds!$R$34</f>
        <v>2.5919346055080732</v>
      </c>
      <c r="BH8" s="274">
        <f ca="1">Funds!$R$36</f>
        <v>1.3378677483181089E-2</v>
      </c>
      <c r="BI8" s="274">
        <f ca="1">Funds!$R$38</f>
        <v>-0.15972963753204919</v>
      </c>
      <c r="BJ8" s="274">
        <f ca="1">Funds!$R$40</f>
        <v>-0.16887551350866659</v>
      </c>
      <c r="BK8" s="274">
        <f ca="1">Funds!$R$42</f>
        <v>-1.9222891726906419</v>
      </c>
      <c r="BL8" s="154"/>
      <c r="BM8" s="153"/>
      <c r="BN8" s="154"/>
      <c r="BO8" s="153"/>
      <c r="BP8" s="154"/>
      <c r="BQ8" s="153"/>
      <c r="BR8" s="154" t="s">
        <v>36</v>
      </c>
      <c r="BS8" s="158">
        <v>-0.47359079999999998</v>
      </c>
      <c r="BT8" s="154"/>
      <c r="BU8" s="154"/>
      <c r="BV8" s="153"/>
      <c r="BW8" s="154"/>
      <c r="BX8" s="153"/>
      <c r="BY8" s="154"/>
      <c r="BZ8" s="153"/>
      <c r="CA8" s="154"/>
      <c r="CB8" s="153"/>
      <c r="CC8" s="154"/>
      <c r="CD8" s="153"/>
      <c r="CE8" s="154"/>
      <c r="CF8" s="153"/>
      <c r="CG8" s="216"/>
      <c r="CH8" s="155" t="s">
        <v>36</v>
      </c>
      <c r="CI8" s="159">
        <v>-0.83533550000000001</v>
      </c>
      <c r="CJ8" s="153" t="str">
        <f t="shared" si="16"/>
        <v>Belgium</v>
      </c>
      <c r="CK8" s="156" t="s">
        <v>36</v>
      </c>
      <c r="CL8" s="159">
        <v>-0.63694980000000001</v>
      </c>
      <c r="CM8" s="153" t="str">
        <f t="shared" si="17"/>
        <v>Belgium</v>
      </c>
      <c r="CO8" s="209" t="s">
        <v>38</v>
      </c>
      <c r="CP8" s="160">
        <v>0.40737069999999997</v>
      </c>
      <c r="CQ8" s="212"/>
      <c r="CR8" s="211" t="s">
        <v>38</v>
      </c>
      <c r="CS8" s="159">
        <v>0.40334520000000001</v>
      </c>
    </row>
    <row r="9" spans="1:98" s="155" customFormat="1">
      <c r="A9" s="153"/>
      <c r="B9" s="153"/>
      <c r="C9" s="153"/>
      <c r="D9" s="153"/>
      <c r="E9" s="153"/>
      <c r="F9" s="421">
        <v>40421</v>
      </c>
      <c r="G9" s="272">
        <f>BMG!F9</f>
        <v>2.68925E-2</v>
      </c>
      <c r="H9" s="272"/>
      <c r="I9" s="272"/>
      <c r="J9" s="272"/>
      <c r="K9" s="272"/>
      <c r="L9" s="272"/>
      <c r="M9" s="272"/>
      <c r="N9" s="272">
        <f t="shared" si="15"/>
        <v>3.6278640136101048E-2</v>
      </c>
      <c r="O9" s="272"/>
      <c r="P9" s="421">
        <v>40421</v>
      </c>
      <c r="Q9" s="154">
        <f>HLOOKUP(Q$1,'Asset Returns'!$F$1:$N$109,ROW(),0)</f>
        <v>0.19600969552993774</v>
      </c>
      <c r="R9" s="154">
        <f>HLOOKUP(R$1,'Asset Returns'!$F$1:$N$109,ROW(),0)</f>
        <v>-3.2355796545743942E-2</v>
      </c>
      <c r="S9" s="154">
        <f>HLOOKUP(S$1,'Asset Returns'!$F$1:$N$109,ROW(),0)</f>
        <v>-8.0024555325508118E-2</v>
      </c>
      <c r="T9" s="154">
        <f>HLOOKUP(T$1,'Asset Returns'!$F$1:$N$109,ROW(),0)</f>
        <v>-3.6353982985019684E-2</v>
      </c>
      <c r="U9" s="154">
        <f>HLOOKUP(U$1,'Asset Returns'!$F$1:$N$109,ROW(),0)</f>
        <v>-3.561532124876976E-2</v>
      </c>
      <c r="V9" s="273" t="e">
        <f>IF(IF(Equity!$J$10="no",AA9,AF9)=0,NA(),IF(Equity!$J$10="no",AA9,AF9))</f>
        <v>#N/A</v>
      </c>
      <c r="W9" s="273" t="e">
        <f>IF(IF(Equity!$J$10="no",AB9,AG9)=0,NA(),IF(Equity!$J$10="no",AB9,AG9))</f>
        <v>#N/A</v>
      </c>
      <c r="X9" s="273" t="e">
        <f>IF(IF(Equity!$J$10="no",AC9,AH9)=0,NA(),IF(Equity!$J$10="no",AC9,AH9))</f>
        <v>#N/A</v>
      </c>
      <c r="Y9" s="273" t="e">
        <f>IF(IF(Equity!$J$10="no",AD9,AI9)=0,NA(),IF(Equity!$J$10="no",AD9,AI9))</f>
        <v>#N/A</v>
      </c>
      <c r="Z9" s="273" t="e">
        <f>IF(IF(Equity!$J$10="no",AE9,AJ9)=0,NA(),IF(Equity!$J$10="no",AE9,AJ9))</f>
        <v>#N/A</v>
      </c>
      <c r="AA9" s="274">
        <f ca="1">Equity!$R$34</f>
        <v>0.64097224418739052</v>
      </c>
      <c r="AB9" s="274">
        <f ca="1">Equity!$R$36</f>
        <v>-0.78557102570241866</v>
      </c>
      <c r="AC9" s="274">
        <f ca="1">Equity!$R$38</f>
        <v>0.9378377404978776</v>
      </c>
      <c r="AD9" s="274">
        <f ca="1">Equity!$R$40</f>
        <v>0.17519882647973573</v>
      </c>
      <c r="AE9" s="274">
        <f ca="1">Equity!$R$42</f>
        <v>7.3760094442444454E-2</v>
      </c>
      <c r="AF9" s="154"/>
      <c r="AG9" s="153"/>
      <c r="AH9" s="154"/>
      <c r="AI9" s="153"/>
      <c r="AJ9" s="154"/>
      <c r="AK9" s="154"/>
      <c r="AL9" s="421">
        <v>40421</v>
      </c>
      <c r="AM9" s="154">
        <f>HLOOKUP(AM$1,'Asset Returns'!$F$1:$ZS$109,ROW(),0)</f>
        <v>4.9492415649693866E-2</v>
      </c>
      <c r="AN9" s="154">
        <f>HLOOKUP(AN$1,'Asset Returns'!$F$1:$ZS$109,ROW(),0)</f>
        <v>9.5916374705645957E-2</v>
      </c>
      <c r="AO9" s="273">
        <f ca="1">IF(IF(Bonds!$J$10="no",AQ9,AS9)=0,NA(),IF(Bonds!$J$10="no",AQ9,AS9))</f>
        <v>-0.12498736259259137</v>
      </c>
      <c r="AP9" s="273">
        <f ca="1">IF(IF(Bonds!$J$10="no",AR9,AT9)=0,NA(),IF(Bonds!$J$10="no",AR9,AT9))</f>
        <v>0.19970923689173462</v>
      </c>
      <c r="AQ9" s="273">
        <f ca="1">Bonds!$P$32</f>
        <v>-0.12498736259259137</v>
      </c>
      <c r="AR9" s="273">
        <f ca="1">Bonds!$P$34</f>
        <v>0.19970923689173462</v>
      </c>
      <c r="AS9" s="154"/>
      <c r="AT9" s="153"/>
      <c r="AU9" s="154"/>
      <c r="AV9" s="421">
        <v>40421</v>
      </c>
      <c r="AW9" s="154">
        <f>HLOOKUP(AW$1,'Asset Returns'!$F$1:$ZS$109,ROW(),0)</f>
        <v>8.5763300000000001E-2</v>
      </c>
      <c r="AX9" s="154">
        <f>HLOOKUP(AX$1,'Asset Returns'!$F$1:$ZS$109,ROW(),0)</f>
        <v>-4.0145699999999999E-2</v>
      </c>
      <c r="AY9" s="154">
        <f>HLOOKUP(AY$1,'Asset Returns'!$F$1:$ZS$109,ROW(),0)</f>
        <v>-3.2260549999999999E-2</v>
      </c>
      <c r="AZ9" s="154">
        <f>HLOOKUP(AZ$1,'Asset Returns'!$F$1:$ZS$109,ROW(),0)</f>
        <v>-3.3708469999999997E-2</v>
      </c>
      <c r="BA9" s="154">
        <f>HLOOKUP(BA$1,'Asset Returns'!$F$1:$ZS$109,ROW(),0)</f>
        <v>7.4898199999999998E-2</v>
      </c>
      <c r="BB9" s="273" t="e">
        <f>IF(IF(Funds!$J$10="no",BG9,BL9)=0,NA(),IF(Funds!$J$10="no",BG9,BL9))</f>
        <v>#N/A</v>
      </c>
      <c r="BC9" s="273" t="e">
        <f>IF(IF(Funds!$J$10="no",BH9,BM9)=0,NA(),IF(Funds!$J$10="no",BH9,BM9))</f>
        <v>#N/A</v>
      </c>
      <c r="BD9" s="273" t="e">
        <f>IF(IF(Funds!$J$10="no",BI9,BN9)=0,NA(),IF(Funds!$J$10="no",BI9,BN9))</f>
        <v>#N/A</v>
      </c>
      <c r="BE9" s="273" t="e">
        <f>IF(IF(Funds!$J$10="no",BJ9,BO9)=0,NA(),IF(Funds!$J$10="no",BJ9,BO9))</f>
        <v>#N/A</v>
      </c>
      <c r="BF9" s="273" t="e">
        <f>IF(IF(Funds!$J$10="no",BK9,BP9)=0,NA(),IF(Funds!$J$10="no",BK9,BP9))</f>
        <v>#N/A</v>
      </c>
      <c r="BG9" s="274">
        <f ca="1">Funds!$R$34</f>
        <v>2.5919346055080732</v>
      </c>
      <c r="BH9" s="274">
        <f ca="1">Funds!$R$36</f>
        <v>1.3378677483181089E-2</v>
      </c>
      <c r="BI9" s="274">
        <f ca="1">Funds!$R$38</f>
        <v>-0.15972963753204919</v>
      </c>
      <c r="BJ9" s="274">
        <f ca="1">Funds!$R$40</f>
        <v>-0.16887551350866659</v>
      </c>
      <c r="BK9" s="274">
        <f ca="1">Funds!$R$42</f>
        <v>-1.9222891726906419</v>
      </c>
      <c r="BL9" s="154"/>
      <c r="BM9" s="153"/>
      <c r="BN9" s="154"/>
      <c r="BO9" s="153"/>
      <c r="BP9" s="154"/>
      <c r="BQ9" s="153"/>
      <c r="BR9" s="154" t="s">
        <v>37</v>
      </c>
      <c r="BS9" s="158">
        <v>-0.25563940000000002</v>
      </c>
      <c r="BT9" s="154"/>
      <c r="BU9" s="153"/>
      <c r="BV9" s="153" t="str">
        <f>BV2</f>
        <v>Energy</v>
      </c>
      <c r="BW9" s="153" t="str">
        <f t="shared" ref="BW9:CF9" si="18">BW2</f>
        <v>Basic Materials</v>
      </c>
      <c r="BX9" s="153" t="str">
        <f t="shared" si="18"/>
        <v>Utilities</v>
      </c>
      <c r="BY9" s="153" t="str">
        <f t="shared" si="18"/>
        <v>Real Estate</v>
      </c>
      <c r="BZ9" s="153" t="str">
        <f t="shared" si="18"/>
        <v>Healthcare</v>
      </c>
      <c r="CA9" s="153" t="str">
        <f t="shared" si="18"/>
        <v>Communication Services</v>
      </c>
      <c r="CB9" s="153" t="str">
        <f t="shared" si="18"/>
        <v>Consumer Cyclical</v>
      </c>
      <c r="CC9" s="153" t="str">
        <f t="shared" si="18"/>
        <v>Financial Services</v>
      </c>
      <c r="CD9" s="153" t="str">
        <f t="shared" si="18"/>
        <v>Consumer Defensive</v>
      </c>
      <c r="CE9" s="153" t="str">
        <f t="shared" si="18"/>
        <v>Industry</v>
      </c>
      <c r="CF9" s="153" t="str">
        <f t="shared" si="18"/>
        <v>Technology</v>
      </c>
      <c r="CG9" s="216"/>
      <c r="CH9" s="155" t="s">
        <v>116</v>
      </c>
      <c r="CI9" s="159">
        <v>-0.3727124</v>
      </c>
      <c r="CJ9" s="153" t="e">
        <f t="shared" si="16"/>
        <v>#N/A</v>
      </c>
      <c r="CK9" s="156" t="s">
        <v>116</v>
      </c>
      <c r="CL9" s="159">
        <v>-0.3727124</v>
      </c>
      <c r="CM9" s="153" t="e">
        <f t="shared" si="17"/>
        <v>#N/A</v>
      </c>
      <c r="CO9" s="209" t="s">
        <v>37</v>
      </c>
      <c r="CP9" s="160">
        <v>-0.18409829999999999</v>
      </c>
      <c r="CQ9" s="212"/>
      <c r="CR9" s="211" t="s">
        <v>37</v>
      </c>
      <c r="CS9" s="159">
        <v>-0.24802920000000001</v>
      </c>
    </row>
    <row r="10" spans="1:98" s="155" customFormat="1">
      <c r="A10" s="153"/>
      <c r="B10" s="153"/>
      <c r="C10" s="153"/>
      <c r="D10" s="153"/>
      <c r="E10" s="153"/>
      <c r="F10" s="421">
        <v>40451</v>
      </c>
      <c r="G10" s="272">
        <f>BMG!F10</f>
        <v>-2.5877600000000001E-2</v>
      </c>
      <c r="H10" s="272"/>
      <c r="I10" s="272"/>
      <c r="J10" s="272"/>
      <c r="K10" s="272"/>
      <c r="L10" s="272"/>
      <c r="M10" s="272"/>
      <c r="N10" s="272">
        <f t="shared" si="15"/>
        <v>9.4622359981151316E-3</v>
      </c>
      <c r="O10" s="272"/>
      <c r="P10" s="421">
        <v>40451</v>
      </c>
      <c r="Q10" s="154">
        <f>HLOOKUP(Q$1,'Asset Returns'!$F$1:$N$109,ROW(),0)</f>
        <v>0.13766619563102722</v>
      </c>
      <c r="R10" s="154">
        <f>HLOOKUP(R$1,'Asset Returns'!$F$1:$N$109,ROW(),0)</f>
        <v>6.0406599193811417E-2</v>
      </c>
      <c r="S10" s="154">
        <f>HLOOKUP(S$1,'Asset Returns'!$F$1:$N$109,ROW(),0)</f>
        <v>0.1523604542016983</v>
      </c>
      <c r="T10" s="154">
        <f>HLOOKUP(T$1,'Asset Returns'!$F$1:$N$109,ROW(),0)</f>
        <v>8.9317671954631805E-2</v>
      </c>
      <c r="U10" s="154">
        <f>HLOOKUP(U$1,'Asset Returns'!$F$1:$N$109,ROW(),0)</f>
        <v>-5.6056682020425797E-2</v>
      </c>
      <c r="V10" s="273" t="e">
        <f>IF(IF(Equity!$J$10="no",AA10,AF10)=0,NA(),IF(Equity!$J$10="no",AA10,AF10))</f>
        <v>#N/A</v>
      </c>
      <c r="W10" s="273" t="e">
        <f>IF(IF(Equity!$J$10="no",AB10,AG10)=0,NA(),IF(Equity!$J$10="no",AB10,AG10))</f>
        <v>#N/A</v>
      </c>
      <c r="X10" s="273" t="e">
        <f>IF(IF(Equity!$J$10="no",AC10,AH10)=0,NA(),IF(Equity!$J$10="no",AC10,AH10))</f>
        <v>#N/A</v>
      </c>
      <c r="Y10" s="273" t="e">
        <f>IF(IF(Equity!$J$10="no",AD10,AI10)=0,NA(),IF(Equity!$J$10="no",AD10,AI10))</f>
        <v>#N/A</v>
      </c>
      <c r="Z10" s="273" t="e">
        <f>IF(IF(Equity!$J$10="no",AE10,AJ10)=0,NA(),IF(Equity!$J$10="no",AE10,AJ10))</f>
        <v>#N/A</v>
      </c>
      <c r="AA10" s="274">
        <f ca="1">Equity!$R$34</f>
        <v>0.64097224418739052</v>
      </c>
      <c r="AB10" s="274">
        <f ca="1">Equity!$R$36</f>
        <v>-0.78557102570241866</v>
      </c>
      <c r="AC10" s="274">
        <f ca="1">Equity!$R$38</f>
        <v>0.9378377404978776</v>
      </c>
      <c r="AD10" s="274">
        <f ca="1">Equity!$R$40</f>
        <v>0.17519882647973573</v>
      </c>
      <c r="AE10" s="274">
        <f ca="1">Equity!$R$42</f>
        <v>7.3760094442444454E-2</v>
      </c>
      <c r="AF10" s="154"/>
      <c r="AG10" s="153"/>
      <c r="AH10" s="154"/>
      <c r="AI10" s="153"/>
      <c r="AJ10" s="154"/>
      <c r="AK10" s="154"/>
      <c r="AL10" s="421">
        <v>40451</v>
      </c>
      <c r="AM10" s="154">
        <f>HLOOKUP(AM$1,'Asset Returns'!$F$1:$ZS$109,ROW(),0)</f>
        <v>-1.1202145358822913E-2</v>
      </c>
      <c r="AN10" s="154">
        <f>HLOOKUP(AN$1,'Asset Returns'!$F$1:$ZS$109,ROW(),0)</f>
        <v>-1.7253929155821246E-2</v>
      </c>
      <c r="AO10" s="273">
        <f ca="1">IF(IF(Bonds!$J$10="no",AQ10,AS10)=0,NA(),IF(Bonds!$J$10="no",AQ10,AS10))</f>
        <v>-0.12498736259259137</v>
      </c>
      <c r="AP10" s="273">
        <f ca="1">IF(IF(Bonds!$J$10="no",AR10,AT10)=0,NA(),IF(Bonds!$J$10="no",AR10,AT10))</f>
        <v>0.19970923689173462</v>
      </c>
      <c r="AQ10" s="273">
        <f ca="1">Bonds!$P$32</f>
        <v>-0.12498736259259137</v>
      </c>
      <c r="AR10" s="273">
        <f ca="1">Bonds!$P$34</f>
        <v>0.19970923689173462</v>
      </c>
      <c r="AS10" s="154"/>
      <c r="AT10" s="153"/>
      <c r="AU10" s="154"/>
      <c r="AV10" s="421">
        <v>40451</v>
      </c>
      <c r="AW10" s="154">
        <f>HLOOKUP(AW$1,'Asset Returns'!$F$1:$ZS$109,ROW(),0)</f>
        <v>0.13954710000000001</v>
      </c>
      <c r="AX10" s="154">
        <f>HLOOKUP(AX$1,'Asset Returns'!$F$1:$ZS$109,ROW(),0)</f>
        <v>9.3349600000000005E-2</v>
      </c>
      <c r="AY10" s="154">
        <f>HLOOKUP(AY$1,'Asset Returns'!$F$1:$ZS$109,ROW(),0)</f>
        <v>0.11538828000000001</v>
      </c>
      <c r="AZ10" s="154">
        <f>HLOOKUP(AZ$1,'Asset Returns'!$F$1:$ZS$109,ROW(),0)</f>
        <v>7.8189430000000004E-2</v>
      </c>
      <c r="BA10" s="154">
        <f>HLOOKUP(BA$1,'Asset Returns'!$F$1:$ZS$109,ROW(),0)</f>
        <v>-0.17740520000000001</v>
      </c>
      <c r="BB10" s="273" t="e">
        <f>IF(IF(Funds!$J$10="no",BG10,BL10)=0,NA(),IF(Funds!$J$10="no",BG10,BL10))</f>
        <v>#N/A</v>
      </c>
      <c r="BC10" s="273" t="e">
        <f>IF(IF(Funds!$J$10="no",BH10,BM10)=0,NA(),IF(Funds!$J$10="no",BH10,BM10))</f>
        <v>#N/A</v>
      </c>
      <c r="BD10" s="273" t="e">
        <f>IF(IF(Funds!$J$10="no",BI10,BN10)=0,NA(),IF(Funds!$J$10="no",BI10,BN10))</f>
        <v>#N/A</v>
      </c>
      <c r="BE10" s="273" t="e">
        <f>IF(IF(Funds!$J$10="no",BJ10,BO10)=0,NA(),IF(Funds!$J$10="no",BJ10,BO10))</f>
        <v>#N/A</v>
      </c>
      <c r="BF10" s="273" t="e">
        <f>IF(IF(Funds!$J$10="no",BK10,BP10)=0,NA(),IF(Funds!$J$10="no",BK10,BP10))</f>
        <v>#N/A</v>
      </c>
      <c r="BG10" s="274">
        <f ca="1">Funds!$R$34</f>
        <v>2.5919346055080732</v>
      </c>
      <c r="BH10" s="274">
        <f ca="1">Funds!$R$36</f>
        <v>1.3378677483181089E-2</v>
      </c>
      <c r="BI10" s="274">
        <f ca="1">Funds!$R$38</f>
        <v>-0.15972963753204919</v>
      </c>
      <c r="BJ10" s="274">
        <f ca="1">Funds!$R$40</f>
        <v>-0.16887551350866659</v>
      </c>
      <c r="BK10" s="274">
        <f ca="1">Funds!$R$42</f>
        <v>-1.9222891726906419</v>
      </c>
      <c r="BL10" s="154"/>
      <c r="BM10" s="153"/>
      <c r="BN10" s="154"/>
      <c r="BO10" s="153"/>
      <c r="BP10" s="154"/>
      <c r="BQ10" s="153"/>
      <c r="BR10" s="154" t="s">
        <v>38</v>
      </c>
      <c r="BS10" s="158">
        <v>0.40972599999999998</v>
      </c>
      <c r="BT10" s="154"/>
      <c r="BU10" s="154" t="s">
        <v>110</v>
      </c>
      <c r="BV10" s="158">
        <f>BV4</f>
        <v>5.0099100000000001E-2</v>
      </c>
      <c r="BW10" s="158">
        <f>BW4</f>
        <v>-4.4764600000000002E-2</v>
      </c>
      <c r="BX10" s="158">
        <f t="shared" ref="BX10:CD10" si="19">BX4</f>
        <v>-0.19535250000000001</v>
      </c>
      <c r="BY10" s="158">
        <f t="shared" si="19"/>
        <v>-0.20789750000000001</v>
      </c>
      <c r="BZ10" s="158">
        <f t="shared" si="19"/>
        <v>-0.29418169999999999</v>
      </c>
      <c r="CA10" s="158">
        <f t="shared" si="19"/>
        <v>-0.32667479999999999</v>
      </c>
      <c r="CB10" s="158">
        <f t="shared" si="19"/>
        <v>-0.30464869999999999</v>
      </c>
      <c r="CC10" s="158">
        <f t="shared" si="19"/>
        <v>-0.34198309999999998</v>
      </c>
      <c r="CD10" s="158">
        <f t="shared" si="19"/>
        <v>-0.26536500000000002</v>
      </c>
      <c r="CE10" s="158">
        <f>CE4</f>
        <v>-0.40551619999999999</v>
      </c>
      <c r="CF10" s="158">
        <f>CF4</f>
        <v>-0.39610879999999998</v>
      </c>
      <c r="CG10" s="216"/>
      <c r="CH10" s="155" t="s">
        <v>117</v>
      </c>
      <c r="CI10" s="159">
        <v>-0.1183548</v>
      </c>
      <c r="CJ10" s="153" t="e">
        <f t="shared" si="16"/>
        <v>#N/A</v>
      </c>
      <c r="CK10" s="156" t="s">
        <v>117</v>
      </c>
      <c r="CL10" s="159">
        <v>-0.1296823</v>
      </c>
      <c r="CM10" s="153" t="e">
        <f t="shared" si="17"/>
        <v>#N/A</v>
      </c>
      <c r="CO10" s="209" t="s">
        <v>39</v>
      </c>
      <c r="CP10" s="160">
        <v>0.29726570000000002</v>
      </c>
      <c r="CQ10" s="212"/>
      <c r="CR10" s="211" t="s">
        <v>39</v>
      </c>
      <c r="CS10" s="159">
        <v>0.30292940000000002</v>
      </c>
    </row>
    <row r="11" spans="1:98" s="155" customFormat="1">
      <c r="A11" s="153"/>
      <c r="B11" s="153"/>
      <c r="C11" s="153"/>
      <c r="D11" s="153"/>
      <c r="E11" s="153"/>
      <c r="F11" s="421">
        <v>40482</v>
      </c>
      <c r="G11" s="272">
        <f>BMG!F11</f>
        <v>7.1040000000000003E-4</v>
      </c>
      <c r="H11" s="272"/>
      <c r="I11" s="272"/>
      <c r="J11" s="272"/>
      <c r="K11" s="272"/>
      <c r="L11" s="272"/>
      <c r="M11" s="272"/>
      <c r="N11" s="272">
        <f t="shared" si="15"/>
        <v>1.0179357970568237E-2</v>
      </c>
      <c r="O11" s="272"/>
      <c r="P11" s="421">
        <v>40482</v>
      </c>
      <c r="Q11" s="154">
        <f>HLOOKUP(Q$1,'Asset Returns'!$F$1:$N$109,ROW(),0)</f>
        <v>6.7476235330104828E-2</v>
      </c>
      <c r="R11" s="154">
        <f>HLOOKUP(R$1,'Asset Returns'!$F$1:$N$109,ROW(),0)</f>
        <v>-1.1065081693232059E-2</v>
      </c>
      <c r="S11" s="154">
        <f>HLOOKUP(S$1,'Asset Returns'!$F$1:$N$109,ROW(),0)</f>
        <v>9.753701277077198E-3</v>
      </c>
      <c r="T11" s="154">
        <f>HLOOKUP(T$1,'Asset Returns'!$F$1:$N$109,ROW(),0)</f>
        <v>7.0423334836959839E-2</v>
      </c>
      <c r="U11" s="154">
        <f>HLOOKUP(U$1,'Asset Returns'!$F$1:$N$109,ROW(),0)</f>
        <v>7.6381832361221313E-2</v>
      </c>
      <c r="V11" s="273" t="e">
        <f>IF(IF(Equity!$J$10="no",AA11,AF11)=0,NA(),IF(Equity!$J$10="no",AA11,AF11))</f>
        <v>#N/A</v>
      </c>
      <c r="W11" s="273" t="e">
        <f>IF(IF(Equity!$J$10="no",AB11,AG11)=0,NA(),IF(Equity!$J$10="no",AB11,AG11))</f>
        <v>#N/A</v>
      </c>
      <c r="X11" s="273" t="e">
        <f>IF(IF(Equity!$J$10="no",AC11,AH11)=0,NA(),IF(Equity!$J$10="no",AC11,AH11))</f>
        <v>#N/A</v>
      </c>
      <c r="Y11" s="273" t="e">
        <f>IF(IF(Equity!$J$10="no",AD11,AI11)=0,NA(),IF(Equity!$J$10="no",AD11,AI11))</f>
        <v>#N/A</v>
      </c>
      <c r="Z11" s="273" t="e">
        <f>IF(IF(Equity!$J$10="no",AE11,AJ11)=0,NA(),IF(Equity!$J$10="no",AE11,AJ11))</f>
        <v>#N/A</v>
      </c>
      <c r="AA11" s="274">
        <f ca="1">Equity!$R$34</f>
        <v>0.64097224418739052</v>
      </c>
      <c r="AB11" s="274">
        <f ca="1">Equity!$R$36</f>
        <v>-0.78557102570241866</v>
      </c>
      <c r="AC11" s="274">
        <f ca="1">Equity!$R$38</f>
        <v>0.9378377404978776</v>
      </c>
      <c r="AD11" s="274">
        <f ca="1">Equity!$R$40</f>
        <v>0.17519882647973573</v>
      </c>
      <c r="AE11" s="274">
        <f ca="1">Equity!$R$42</f>
        <v>7.3760094442444454E-2</v>
      </c>
      <c r="AF11" s="154"/>
      <c r="AG11" s="153"/>
      <c r="AH11" s="154"/>
      <c r="AI11" s="153"/>
      <c r="AJ11" s="154"/>
      <c r="AK11" s="154"/>
      <c r="AL11" s="421">
        <v>40482</v>
      </c>
      <c r="AM11" s="154">
        <f>HLOOKUP(AM$1,'Asset Returns'!$F$1:$ZS$109,ROW(),0)</f>
        <v>3.0885054082858687E-3</v>
      </c>
      <c r="AN11" s="154">
        <f>HLOOKUP(AN$1,'Asset Returns'!$F$1:$ZS$109,ROW(),0)</f>
        <v>-3.7495704111017658E-2</v>
      </c>
      <c r="AO11" s="273">
        <f ca="1">IF(IF(Bonds!$J$10="no",AQ11,AS11)=0,NA(),IF(Bonds!$J$10="no",AQ11,AS11))</f>
        <v>-0.12498736259259137</v>
      </c>
      <c r="AP11" s="273">
        <f ca="1">IF(IF(Bonds!$J$10="no",AR11,AT11)=0,NA(),IF(Bonds!$J$10="no",AR11,AT11))</f>
        <v>0.19970923689173462</v>
      </c>
      <c r="AQ11" s="273">
        <f ca="1">Bonds!$P$32</f>
        <v>-0.12498736259259137</v>
      </c>
      <c r="AR11" s="273">
        <f ca="1">Bonds!$P$34</f>
        <v>0.19970923689173462</v>
      </c>
      <c r="AS11" s="154"/>
      <c r="AT11" s="153"/>
      <c r="AU11" s="154"/>
      <c r="AV11" s="421">
        <v>40482</v>
      </c>
      <c r="AW11" s="154">
        <f>HLOOKUP(AW$1,'Asset Returns'!$F$1:$ZS$109,ROW(),0)</f>
        <v>4.80591E-2</v>
      </c>
      <c r="AX11" s="154">
        <f>HLOOKUP(AX$1,'Asset Returns'!$F$1:$ZS$109,ROW(),0)</f>
        <v>3.7404600000000003E-2</v>
      </c>
      <c r="AY11" s="154">
        <f>HLOOKUP(AY$1,'Asset Returns'!$F$1:$ZS$109,ROW(),0)</f>
        <v>4.3831639999999998E-2</v>
      </c>
      <c r="AZ11" s="154">
        <f>HLOOKUP(AZ$1,'Asset Returns'!$F$1:$ZS$109,ROW(),0)</f>
        <v>4.9593579999999998E-2</v>
      </c>
      <c r="BA11" s="154">
        <f>HLOOKUP(BA$1,'Asset Returns'!$F$1:$ZS$109,ROW(),0)</f>
        <v>-0.10384550000000001</v>
      </c>
      <c r="BB11" s="273" t="e">
        <f>IF(IF(Funds!$J$10="no",BG11,BL11)=0,NA(),IF(Funds!$J$10="no",BG11,BL11))</f>
        <v>#N/A</v>
      </c>
      <c r="BC11" s="273" t="e">
        <f>IF(IF(Funds!$J$10="no",BH11,BM11)=0,NA(),IF(Funds!$J$10="no",BH11,BM11))</f>
        <v>#N/A</v>
      </c>
      <c r="BD11" s="273" t="e">
        <f>IF(IF(Funds!$J$10="no",BI11,BN11)=0,NA(),IF(Funds!$J$10="no",BI11,BN11))</f>
        <v>#N/A</v>
      </c>
      <c r="BE11" s="273" t="e">
        <f>IF(IF(Funds!$J$10="no",BJ11,BO11)=0,NA(),IF(Funds!$J$10="no",BJ11,BO11))</f>
        <v>#N/A</v>
      </c>
      <c r="BF11" s="273" t="e">
        <f>IF(IF(Funds!$J$10="no",BK11,BP11)=0,NA(),IF(Funds!$J$10="no",BK11,BP11))</f>
        <v>#N/A</v>
      </c>
      <c r="BG11" s="274">
        <f ca="1">Funds!$R$34</f>
        <v>2.5919346055080732</v>
      </c>
      <c r="BH11" s="274">
        <f ca="1">Funds!$R$36</f>
        <v>1.3378677483181089E-2</v>
      </c>
      <c r="BI11" s="274">
        <f ca="1">Funds!$R$38</f>
        <v>-0.15972963753204919</v>
      </c>
      <c r="BJ11" s="274">
        <f ca="1">Funds!$R$40</f>
        <v>-0.16887551350866659</v>
      </c>
      <c r="BK11" s="274">
        <f ca="1">Funds!$R$42</f>
        <v>-1.9222891726906419</v>
      </c>
      <c r="BL11" s="154"/>
      <c r="BM11" s="153"/>
      <c r="BN11" s="154"/>
      <c r="BO11" s="153"/>
      <c r="BP11" s="154"/>
      <c r="BQ11" s="153"/>
      <c r="BR11" s="154" t="s">
        <v>39</v>
      </c>
      <c r="BS11" s="158">
        <v>0.40126830000000002</v>
      </c>
      <c r="BT11" s="154"/>
      <c r="BU11" s="154" t="s">
        <v>111</v>
      </c>
      <c r="BV11" s="158">
        <f>IF(BV10&lt;0,BV10+BV5-BV4,BV5-BV4)</f>
        <v>0.26796690000000001</v>
      </c>
      <c r="BW11" s="158">
        <f t="shared" ref="BW11:CF11" si="20">IF(BW10&lt;0,BW10+BW5-BW4,BW5-BW4)</f>
        <v>0.2489459</v>
      </c>
      <c r="BX11" s="158">
        <f t="shared" si="20"/>
        <v>0.1596543</v>
      </c>
      <c r="BY11" s="158">
        <f t="shared" si="20"/>
        <v>8.9649099999999995E-2</v>
      </c>
      <c r="BZ11" s="158">
        <f t="shared" si="20"/>
        <v>8.4021899999999983E-2</v>
      </c>
      <c r="CA11" s="158">
        <f t="shared" si="20"/>
        <v>6.6654500000000005E-2</v>
      </c>
      <c r="CB11" s="158">
        <f t="shared" si="20"/>
        <v>5.1864100000000024E-2</v>
      </c>
      <c r="CC11" s="158">
        <f t="shared" si="20"/>
        <v>4.2600799999999994E-2</v>
      </c>
      <c r="CD11" s="158">
        <f t="shared" si="20"/>
        <v>3.4173399999999993E-2</v>
      </c>
      <c r="CE11" s="158">
        <f t="shared" si="20"/>
        <v>2.9117899999999974E-2</v>
      </c>
      <c r="CF11" s="158">
        <f t="shared" si="20"/>
        <v>8.9412999999999854E-3</v>
      </c>
      <c r="CG11" s="216"/>
      <c r="CH11" s="155" t="s">
        <v>38</v>
      </c>
      <c r="CI11" s="159">
        <v>0.40737069999999997</v>
      </c>
      <c r="CJ11" s="153" t="str">
        <f t="shared" si="16"/>
        <v>Brazil</v>
      </c>
      <c r="CK11" s="156" t="s">
        <v>38</v>
      </c>
      <c r="CL11" s="159">
        <v>0.40334520000000001</v>
      </c>
      <c r="CM11" s="153" t="str">
        <f t="shared" si="17"/>
        <v>Brazil</v>
      </c>
      <c r="CO11" s="209" t="s">
        <v>42</v>
      </c>
      <c r="CP11" s="160">
        <v>0.2911861</v>
      </c>
      <c r="CQ11" s="212"/>
      <c r="CR11" s="211" t="s">
        <v>42</v>
      </c>
      <c r="CS11" s="159">
        <v>0.1991116</v>
      </c>
    </row>
    <row r="12" spans="1:98" s="155" customFormat="1">
      <c r="A12" s="153"/>
      <c r="B12" s="153"/>
      <c r="C12" s="153"/>
      <c r="D12" s="153"/>
      <c r="E12" s="153"/>
      <c r="F12" s="421">
        <v>40512</v>
      </c>
      <c r="G12" s="272">
        <f>BMG!F12</f>
        <v>2.7622500000000001E-2</v>
      </c>
      <c r="H12" s="272"/>
      <c r="I12" s="272"/>
      <c r="J12" s="272"/>
      <c r="K12" s="272"/>
      <c r="L12" s="272"/>
      <c r="M12" s="272"/>
      <c r="N12" s="272">
        <f t="shared" si="15"/>
        <v>3.8083037286110288E-2</v>
      </c>
      <c r="O12" s="272"/>
      <c r="P12" s="421">
        <v>40512</v>
      </c>
      <c r="Q12" s="154">
        <f>HLOOKUP(Q$1,'Asset Returns'!$F$1:$N$109,ROW(),0)</f>
        <v>3.1526386737823486E-2</v>
      </c>
      <c r="R12" s="154">
        <f>HLOOKUP(R$1,'Asset Returns'!$F$1:$N$109,ROW(),0)</f>
        <v>8.2872152328491211E-2</v>
      </c>
      <c r="S12" s="154">
        <f>HLOOKUP(S$1,'Asset Returns'!$F$1:$N$109,ROW(),0)</f>
        <v>-2.5686582550406456E-2</v>
      </c>
      <c r="T12" s="154">
        <f>HLOOKUP(T$1,'Asset Returns'!$F$1:$N$109,ROW(),0)</f>
        <v>-1.0630568489432335E-2</v>
      </c>
      <c r="U12" s="154">
        <f>HLOOKUP(U$1,'Asset Returns'!$F$1:$N$109,ROW(),0)</f>
        <v>-1.2533392757177353E-2</v>
      </c>
      <c r="V12" s="273" t="e">
        <f>IF(IF(Equity!$J$10="no",AA12,AF12)=0,NA(),IF(Equity!$J$10="no",AA12,AF12))</f>
        <v>#N/A</v>
      </c>
      <c r="W12" s="273" t="e">
        <f>IF(IF(Equity!$J$10="no",AB12,AG12)=0,NA(),IF(Equity!$J$10="no",AB12,AG12))</f>
        <v>#N/A</v>
      </c>
      <c r="X12" s="273" t="e">
        <f>IF(IF(Equity!$J$10="no",AC12,AH12)=0,NA(),IF(Equity!$J$10="no",AC12,AH12))</f>
        <v>#N/A</v>
      </c>
      <c r="Y12" s="273" t="e">
        <f>IF(IF(Equity!$J$10="no",AD12,AI12)=0,NA(),IF(Equity!$J$10="no",AD12,AI12))</f>
        <v>#N/A</v>
      </c>
      <c r="Z12" s="273" t="e">
        <f>IF(IF(Equity!$J$10="no",AE12,AJ12)=0,NA(),IF(Equity!$J$10="no",AE12,AJ12))</f>
        <v>#N/A</v>
      </c>
      <c r="AA12" s="274">
        <f ca="1">Equity!$R$34</f>
        <v>0.64097224418739052</v>
      </c>
      <c r="AB12" s="274">
        <f ca="1">Equity!$R$36</f>
        <v>-0.78557102570241866</v>
      </c>
      <c r="AC12" s="274">
        <f ca="1">Equity!$R$38</f>
        <v>0.9378377404978776</v>
      </c>
      <c r="AD12" s="274">
        <f ca="1">Equity!$R$40</f>
        <v>0.17519882647973573</v>
      </c>
      <c r="AE12" s="274">
        <f ca="1">Equity!$R$42</f>
        <v>7.3760094442444454E-2</v>
      </c>
      <c r="AF12" s="154"/>
      <c r="AG12" s="153"/>
      <c r="AH12" s="154"/>
      <c r="AI12" s="153"/>
      <c r="AJ12" s="154"/>
      <c r="AK12" s="154"/>
      <c r="AL12" s="421">
        <v>40512</v>
      </c>
      <c r="AM12" s="154">
        <f>HLOOKUP(AM$1,'Asset Returns'!$F$1:$ZS$109,ROW(),0)</f>
        <v>-3.3407783846348571E-2</v>
      </c>
      <c r="AN12" s="154">
        <f>HLOOKUP(AN$1,'Asset Returns'!$F$1:$ZS$109,ROW(),0)</f>
        <v>1.8480897326980106E-2</v>
      </c>
      <c r="AO12" s="273">
        <f ca="1">IF(IF(Bonds!$J$10="no",AQ12,AS12)=0,NA(),IF(Bonds!$J$10="no",AQ12,AS12))</f>
        <v>-0.12498736259259137</v>
      </c>
      <c r="AP12" s="273">
        <f ca="1">IF(IF(Bonds!$J$10="no",AR12,AT12)=0,NA(),IF(Bonds!$J$10="no",AR12,AT12))</f>
        <v>0.19970923689173462</v>
      </c>
      <c r="AQ12" s="273">
        <f ca="1">Bonds!$P$32</f>
        <v>-0.12498736259259137</v>
      </c>
      <c r="AR12" s="273">
        <f ca="1">Bonds!$P$34</f>
        <v>0.19970923689173462</v>
      </c>
      <c r="AS12" s="154"/>
      <c r="AT12" s="153"/>
      <c r="AU12" s="154"/>
      <c r="AV12" s="421">
        <v>40512</v>
      </c>
      <c r="AW12" s="154">
        <f>HLOOKUP(AW$1,'Asset Returns'!$F$1:$ZS$109,ROW(),0)</f>
        <v>7.2751300000000005E-2</v>
      </c>
      <c r="AX12" s="154">
        <f>HLOOKUP(AX$1,'Asset Returns'!$F$1:$ZS$109,ROW(),0)</f>
        <v>-2.2987899999999999E-2</v>
      </c>
      <c r="AY12" s="154">
        <f>HLOOKUP(AY$1,'Asset Returns'!$F$1:$ZS$109,ROW(),0)</f>
        <v>-7.378788E-2</v>
      </c>
      <c r="AZ12" s="154">
        <f>HLOOKUP(AZ$1,'Asset Returns'!$F$1:$ZS$109,ROW(),0)</f>
        <v>-3.093359E-2</v>
      </c>
      <c r="BA12" s="154">
        <f>HLOOKUP(BA$1,'Asset Returns'!$F$1:$ZS$109,ROW(),0)</f>
        <v>-0.11647220000000001</v>
      </c>
      <c r="BB12" s="273" t="e">
        <f>IF(IF(Funds!$J$10="no",BG12,BL12)=0,NA(),IF(Funds!$J$10="no",BG12,BL12))</f>
        <v>#N/A</v>
      </c>
      <c r="BC12" s="273" t="e">
        <f>IF(IF(Funds!$J$10="no",BH12,BM12)=0,NA(),IF(Funds!$J$10="no",BH12,BM12))</f>
        <v>#N/A</v>
      </c>
      <c r="BD12" s="273" t="e">
        <f>IF(IF(Funds!$J$10="no",BI12,BN12)=0,NA(),IF(Funds!$J$10="no",BI12,BN12))</f>
        <v>#N/A</v>
      </c>
      <c r="BE12" s="273" t="e">
        <f>IF(IF(Funds!$J$10="no",BJ12,BO12)=0,NA(),IF(Funds!$J$10="no",BJ12,BO12))</f>
        <v>#N/A</v>
      </c>
      <c r="BF12" s="273" t="e">
        <f>IF(IF(Funds!$J$10="no",BK12,BP12)=0,NA(),IF(Funds!$J$10="no",BK12,BP12))</f>
        <v>#N/A</v>
      </c>
      <c r="BG12" s="274">
        <f ca="1">Funds!$R$34</f>
        <v>2.5919346055080732</v>
      </c>
      <c r="BH12" s="274">
        <f ca="1">Funds!$R$36</f>
        <v>1.3378677483181089E-2</v>
      </c>
      <c r="BI12" s="274">
        <f ca="1">Funds!$R$38</f>
        <v>-0.15972963753204919</v>
      </c>
      <c r="BJ12" s="274">
        <f ca="1">Funds!$R$40</f>
        <v>-0.16887551350866659</v>
      </c>
      <c r="BK12" s="274">
        <f ca="1">Funds!$R$42</f>
        <v>-1.9222891726906419</v>
      </c>
      <c r="BL12" s="154"/>
      <c r="BM12" s="153"/>
      <c r="BN12" s="154"/>
      <c r="BO12" s="153"/>
      <c r="BP12" s="154"/>
      <c r="BQ12" s="153"/>
      <c r="BR12" s="154" t="s">
        <v>40</v>
      </c>
      <c r="BS12" s="158">
        <v>-0.3795288</v>
      </c>
      <c r="BT12" s="154"/>
      <c r="BU12" s="154" t="s">
        <v>112</v>
      </c>
      <c r="BV12" s="158">
        <f>BV6-BV5</f>
        <v>0.54065570000000007</v>
      </c>
      <c r="BW12" s="158">
        <f>BW6-BW5</f>
        <v>0.36856050000000001</v>
      </c>
      <c r="BX12" s="158">
        <f t="shared" ref="BX12:CD12" si="21">BX6-BX5</f>
        <v>0.21472490000000002</v>
      </c>
      <c r="BY12" s="158">
        <f t="shared" si="21"/>
        <v>0.20945380000000002</v>
      </c>
      <c r="BZ12" s="158">
        <f t="shared" si="21"/>
        <v>0.27586740000000004</v>
      </c>
      <c r="CA12" s="158">
        <f t="shared" si="21"/>
        <v>0.21490779999999998</v>
      </c>
      <c r="CB12" s="158">
        <f t="shared" si="21"/>
        <v>0.23849590000000001</v>
      </c>
      <c r="CC12" s="158">
        <f t="shared" si="21"/>
        <v>0.20700750000000001</v>
      </c>
      <c r="CD12" s="158">
        <f t="shared" si="21"/>
        <v>0.23047799999999999</v>
      </c>
      <c r="CE12" s="158">
        <f>CE6-CE5</f>
        <v>0.28709280000000004</v>
      </c>
      <c r="CF12" s="158">
        <f t="shared" ref="CF12" si="22">CF6-CF5</f>
        <v>0.27654110000000004</v>
      </c>
      <c r="CG12" s="216"/>
      <c r="CH12" s="155" t="s">
        <v>37</v>
      </c>
      <c r="CI12" s="159">
        <v>-0.18409829999999999</v>
      </c>
      <c r="CJ12" s="153" t="str">
        <f t="shared" si="16"/>
        <v>Bulgaria</v>
      </c>
      <c r="CK12" s="156" t="s">
        <v>37</v>
      </c>
      <c r="CL12" s="159">
        <v>-0.24802920000000001</v>
      </c>
      <c r="CM12" s="153" t="str">
        <f t="shared" si="17"/>
        <v>Bulgaria</v>
      </c>
      <c r="CO12" s="209" t="s">
        <v>43</v>
      </c>
      <c r="CP12" s="160">
        <v>0.14328479999999999</v>
      </c>
      <c r="CQ12" s="212"/>
      <c r="CR12" s="211" t="s">
        <v>43</v>
      </c>
      <c r="CS12" s="159">
        <v>0.1907711</v>
      </c>
    </row>
    <row r="13" spans="1:98" s="155" customFormat="1">
      <c r="A13" s="153"/>
      <c r="B13" s="153"/>
      <c r="C13" s="153"/>
      <c r="D13" s="153"/>
      <c r="E13" s="153"/>
      <c r="F13" s="421">
        <v>40543</v>
      </c>
      <c r="G13" s="272">
        <f>BMG!F13</f>
        <v>1.7928800000000002E-2</v>
      </c>
      <c r="H13" s="272"/>
      <c r="I13" s="272"/>
      <c r="J13" s="272"/>
      <c r="K13" s="272"/>
      <c r="L13" s="272"/>
      <c r="M13" s="272"/>
      <c r="N13" s="272">
        <f t="shared" si="15"/>
        <v>5.6694620445005395E-2</v>
      </c>
      <c r="O13" s="272"/>
      <c r="P13" s="421">
        <v>40543</v>
      </c>
      <c r="Q13" s="154">
        <f>HLOOKUP(Q$1,'Asset Returns'!$F$1:$N$109,ROW(),0)</f>
        <v>8.7056107819080353E-2</v>
      </c>
      <c r="R13" s="154">
        <f>HLOOKUP(R$1,'Asset Returns'!$F$1:$N$109,ROW(),0)</f>
        <v>3.2756820321083069E-2</v>
      </c>
      <c r="S13" s="154">
        <f>HLOOKUP(S$1,'Asset Returns'!$F$1:$N$109,ROW(),0)</f>
        <v>9.8703891038894653E-2</v>
      </c>
      <c r="T13" s="154">
        <f>HLOOKUP(T$1,'Asset Returns'!$F$1:$N$109,ROW(),0)</f>
        <v>3.7366423755884171E-2</v>
      </c>
      <c r="U13" s="154">
        <f>HLOOKUP(U$1,'Asset Returns'!$F$1:$N$109,ROW(),0)</f>
        <v>0.10709424316883087</v>
      </c>
      <c r="V13" s="273" t="e">
        <f>IF(IF(Equity!$J$10="no",AA13,AF13)=0,NA(),IF(Equity!$J$10="no",AA13,AF13))</f>
        <v>#N/A</v>
      </c>
      <c r="W13" s="273" t="e">
        <f>IF(IF(Equity!$J$10="no",AB13,AG13)=0,NA(),IF(Equity!$J$10="no",AB13,AG13))</f>
        <v>#N/A</v>
      </c>
      <c r="X13" s="273" t="e">
        <f>IF(IF(Equity!$J$10="no",AC13,AH13)=0,NA(),IF(Equity!$J$10="no",AC13,AH13))</f>
        <v>#N/A</v>
      </c>
      <c r="Y13" s="273" t="e">
        <f>IF(IF(Equity!$J$10="no",AD13,AI13)=0,NA(),IF(Equity!$J$10="no",AD13,AI13))</f>
        <v>#N/A</v>
      </c>
      <c r="Z13" s="273" t="e">
        <f>IF(IF(Equity!$J$10="no",AE13,AJ13)=0,NA(),IF(Equity!$J$10="no",AE13,AJ13))</f>
        <v>#N/A</v>
      </c>
      <c r="AA13" s="274">
        <f ca="1">Equity!$R$34</f>
        <v>0.64097224418739052</v>
      </c>
      <c r="AB13" s="274">
        <f ca="1">Equity!$R$36</f>
        <v>-0.78557102570241866</v>
      </c>
      <c r="AC13" s="274">
        <f ca="1">Equity!$R$38</f>
        <v>0.9378377404978776</v>
      </c>
      <c r="AD13" s="274">
        <f ca="1">Equity!$R$40</f>
        <v>0.17519882647973573</v>
      </c>
      <c r="AE13" s="274">
        <f ca="1">Equity!$R$42</f>
        <v>7.3760094442444454E-2</v>
      </c>
      <c r="AF13" s="154"/>
      <c r="AG13" s="153"/>
      <c r="AH13" s="154"/>
      <c r="AI13" s="153"/>
      <c r="AJ13" s="154"/>
      <c r="AK13" s="154"/>
      <c r="AL13" s="421">
        <v>40543</v>
      </c>
      <c r="AM13" s="154">
        <f>HLOOKUP(AM$1,'Asset Returns'!$F$1:$ZS$109,ROW(),0)</f>
        <v>-2.0118154986037529E-2</v>
      </c>
      <c r="AN13" s="154">
        <f>HLOOKUP(AN$1,'Asset Returns'!$F$1:$ZS$109,ROW(),0)</f>
        <v>-2.6057785299806624E-2</v>
      </c>
      <c r="AO13" s="273">
        <f ca="1">IF(IF(Bonds!$J$10="no",AQ13,AS13)=0,NA(),IF(Bonds!$J$10="no",AQ13,AS13))</f>
        <v>-0.12498736259259137</v>
      </c>
      <c r="AP13" s="273">
        <f ca="1">IF(IF(Bonds!$J$10="no",AR13,AT13)=0,NA(),IF(Bonds!$J$10="no",AR13,AT13))</f>
        <v>0.19970923689173462</v>
      </c>
      <c r="AQ13" s="273">
        <f ca="1">Bonds!$P$32</f>
        <v>-0.12498736259259137</v>
      </c>
      <c r="AR13" s="273">
        <f ca="1">Bonds!$P$34</f>
        <v>0.19970923689173462</v>
      </c>
      <c r="AS13" s="154"/>
      <c r="AT13" s="153"/>
      <c r="AU13" s="154"/>
      <c r="AV13" s="421">
        <v>40543</v>
      </c>
      <c r="AW13" s="154">
        <f>HLOOKUP(AW$1,'Asset Returns'!$F$1:$ZS$109,ROW(),0)</f>
        <v>4.0875099999999998E-2</v>
      </c>
      <c r="AX13" s="154">
        <f>HLOOKUP(AX$1,'Asset Returns'!$F$1:$ZS$109,ROW(),0)</f>
        <v>7.3008400000000001E-2</v>
      </c>
      <c r="AY13" s="154">
        <f>HLOOKUP(AY$1,'Asset Returns'!$F$1:$ZS$109,ROW(),0)</f>
        <v>8.9237749999999991E-2</v>
      </c>
      <c r="AZ13" s="154">
        <f>HLOOKUP(AZ$1,'Asset Returns'!$F$1:$ZS$109,ROW(),0)</f>
        <v>8.3712739999999994E-2</v>
      </c>
      <c r="BA13" s="154">
        <f>HLOOKUP(BA$1,'Asset Returns'!$F$1:$ZS$109,ROW(),0)</f>
        <v>-0.15935540000000001</v>
      </c>
      <c r="BB13" s="273" t="e">
        <f>IF(IF(Funds!$J$10="no",BG13,BL13)=0,NA(),IF(Funds!$J$10="no",BG13,BL13))</f>
        <v>#N/A</v>
      </c>
      <c r="BC13" s="273" t="e">
        <f>IF(IF(Funds!$J$10="no",BH13,BM13)=0,NA(),IF(Funds!$J$10="no",BH13,BM13))</f>
        <v>#N/A</v>
      </c>
      <c r="BD13" s="273" t="e">
        <f>IF(IF(Funds!$J$10="no",BI13,BN13)=0,NA(),IF(Funds!$J$10="no",BI13,BN13))</f>
        <v>#N/A</v>
      </c>
      <c r="BE13" s="273" t="e">
        <f>IF(IF(Funds!$J$10="no",BJ13,BO13)=0,NA(),IF(Funds!$J$10="no",BJ13,BO13))</f>
        <v>#N/A</v>
      </c>
      <c r="BF13" s="273" t="e">
        <f>IF(IF(Funds!$J$10="no",BK13,BP13)=0,NA(),IF(Funds!$J$10="no",BK13,BP13))</f>
        <v>#N/A</v>
      </c>
      <c r="BG13" s="274">
        <f ca="1">Funds!$R$34</f>
        <v>2.5919346055080732</v>
      </c>
      <c r="BH13" s="274">
        <f ca="1">Funds!$R$36</f>
        <v>1.3378677483181089E-2</v>
      </c>
      <c r="BI13" s="274">
        <f ca="1">Funds!$R$38</f>
        <v>-0.15972963753204919</v>
      </c>
      <c r="BJ13" s="274">
        <f ca="1">Funds!$R$40</f>
        <v>-0.16887551350866659</v>
      </c>
      <c r="BK13" s="274">
        <f ca="1">Funds!$R$42</f>
        <v>-1.9222891726906419</v>
      </c>
      <c r="BL13" s="154"/>
      <c r="BM13" s="153"/>
      <c r="BN13" s="154"/>
      <c r="BO13" s="153"/>
      <c r="BP13" s="154"/>
      <c r="BQ13" s="153"/>
      <c r="BR13" s="154" t="s">
        <v>41</v>
      </c>
      <c r="BS13" s="158">
        <v>-0.17778730000000001</v>
      </c>
      <c r="BT13" s="154"/>
      <c r="BU13" s="154" t="s">
        <v>113</v>
      </c>
      <c r="BV13" s="158">
        <f>BV3-BV10</f>
        <v>-1.2055629999999999</v>
      </c>
      <c r="BW13" s="158">
        <f>BW3-BW10</f>
        <v>-0.98407860000000003</v>
      </c>
      <c r="BX13" s="158">
        <f t="shared" ref="BX13:CD13" si="23">BX3-BX10</f>
        <v>-0.84159790000000001</v>
      </c>
      <c r="BY13" s="158">
        <f t="shared" si="23"/>
        <v>-0.76045687000000006</v>
      </c>
      <c r="BZ13" s="158">
        <f t="shared" si="23"/>
        <v>-0.94261109999999992</v>
      </c>
      <c r="CA13" s="158">
        <f t="shared" si="23"/>
        <v>-0.83263300000000018</v>
      </c>
      <c r="CB13" s="158">
        <f t="shared" si="23"/>
        <v>-0.88949190000000011</v>
      </c>
      <c r="CC13" s="158">
        <f t="shared" si="23"/>
        <v>-0.88300149999999999</v>
      </c>
      <c r="CD13" s="158">
        <f t="shared" si="23"/>
        <v>-0.76877449999999992</v>
      </c>
      <c r="CE13" s="158">
        <f>CE3-CE10</f>
        <v>-1.0768553999999999</v>
      </c>
      <c r="CF13" s="158">
        <f>CF3-CF10</f>
        <v>-1.0133748</v>
      </c>
      <c r="CG13" s="216"/>
      <c r="CH13" s="155" t="s">
        <v>39</v>
      </c>
      <c r="CI13" s="159">
        <v>0.29726570000000002</v>
      </c>
      <c r="CJ13" s="153" t="str">
        <f t="shared" si="16"/>
        <v>Canada</v>
      </c>
      <c r="CK13" s="156" t="s">
        <v>39</v>
      </c>
      <c r="CL13" s="160">
        <v>0.30292940000000002</v>
      </c>
      <c r="CM13" s="153" t="str">
        <f t="shared" si="17"/>
        <v>Canada</v>
      </c>
      <c r="CO13" s="209" t="s">
        <v>44</v>
      </c>
      <c r="CP13" s="160">
        <v>0.20460790000000001</v>
      </c>
      <c r="CQ13" s="212"/>
      <c r="CR13" s="211" t="s">
        <v>44</v>
      </c>
      <c r="CS13" s="159">
        <v>0.1890114</v>
      </c>
    </row>
    <row r="14" spans="1:98" s="155" customFormat="1">
      <c r="A14" s="153"/>
      <c r="B14" s="153"/>
      <c r="C14" s="153"/>
      <c r="D14" s="153"/>
      <c r="E14" s="153"/>
      <c r="F14" s="421">
        <v>40574</v>
      </c>
      <c r="G14" s="272">
        <f>BMG!F14</f>
        <v>-1.32926E-2</v>
      </c>
      <c r="H14" s="272"/>
      <c r="I14" s="272"/>
      <c r="J14" s="272"/>
      <c r="K14" s="272"/>
      <c r="L14" s="272"/>
      <c r="M14" s="272"/>
      <c r="N14" s="272">
        <f t="shared" si="15"/>
        <v>4.2648401533278202E-2</v>
      </c>
      <c r="O14" s="272"/>
      <c r="P14" s="421">
        <v>40574</v>
      </c>
      <c r="Q14" s="154">
        <f>HLOOKUP(Q$1,'Asset Returns'!$F$1:$N$109,ROW(),0)</f>
        <v>-0.14620505273342133</v>
      </c>
      <c r="R14" s="154">
        <f>HLOOKUP(R$1,'Asset Returns'!$F$1:$N$109,ROW(),0)</f>
        <v>4.5172430574893951E-2</v>
      </c>
      <c r="S14" s="154">
        <f>HLOOKUP(S$1,'Asset Returns'!$F$1:$N$109,ROW(),0)</f>
        <v>6.5360955893993378E-2</v>
      </c>
      <c r="T14" s="154">
        <f>HLOOKUP(T$1,'Asset Returns'!$F$1:$N$109,ROW(),0)</f>
        <v>0.10374300181865692</v>
      </c>
      <c r="U14" s="154">
        <f>HLOOKUP(U$1,'Asset Returns'!$F$1:$N$109,ROW(),0)</f>
        <v>7.3649182915687561E-2</v>
      </c>
      <c r="V14" s="273" t="e">
        <f>IF(IF(Equity!$J$10="no",AA14,AF14)=0,NA(),IF(Equity!$J$10="no",AA14,AF14))</f>
        <v>#N/A</v>
      </c>
      <c r="W14" s="273" t="e">
        <f>IF(IF(Equity!$J$10="no",AB14,AG14)=0,NA(),IF(Equity!$J$10="no",AB14,AG14))</f>
        <v>#N/A</v>
      </c>
      <c r="X14" s="273" t="e">
        <f>IF(IF(Equity!$J$10="no",AC14,AH14)=0,NA(),IF(Equity!$J$10="no",AC14,AH14))</f>
        <v>#N/A</v>
      </c>
      <c r="Y14" s="273" t="e">
        <f>IF(IF(Equity!$J$10="no",AD14,AI14)=0,NA(),IF(Equity!$J$10="no",AD14,AI14))</f>
        <v>#N/A</v>
      </c>
      <c r="Z14" s="273" t="e">
        <f>IF(IF(Equity!$J$10="no",AE14,AJ14)=0,NA(),IF(Equity!$J$10="no",AE14,AJ14))</f>
        <v>#N/A</v>
      </c>
      <c r="AA14" s="274">
        <f ca="1">Equity!$R$34</f>
        <v>0.64097224418739052</v>
      </c>
      <c r="AB14" s="274">
        <f ca="1">Equity!$R$36</f>
        <v>-0.78557102570241866</v>
      </c>
      <c r="AC14" s="274">
        <f ca="1">Equity!$R$38</f>
        <v>0.9378377404978776</v>
      </c>
      <c r="AD14" s="274">
        <f ca="1">Equity!$R$40</f>
        <v>0.17519882647973573</v>
      </c>
      <c r="AE14" s="274">
        <f ca="1">Equity!$R$42</f>
        <v>7.3760094442444454E-2</v>
      </c>
      <c r="AF14" s="154"/>
      <c r="AG14" s="153"/>
      <c r="AH14" s="154"/>
      <c r="AI14" s="153"/>
      <c r="AJ14" s="154"/>
      <c r="AK14" s="154"/>
      <c r="AL14" s="421">
        <v>40574</v>
      </c>
      <c r="AM14" s="154">
        <f>HLOOKUP(AM$1,'Asset Returns'!$F$1:$ZS$109,ROW(),0)</f>
        <v>-1.666937170025673E-2</v>
      </c>
      <c r="AN14" s="154">
        <f>HLOOKUP(AN$1,'Asset Returns'!$F$1:$ZS$109,ROW(),0)</f>
        <v>-2.8629234960807826E-2</v>
      </c>
      <c r="AO14" s="273">
        <f ca="1">IF(IF(Bonds!$J$10="no",AQ14,AS14)=0,NA(),IF(Bonds!$J$10="no",AQ14,AS14))</f>
        <v>-0.12498736259259137</v>
      </c>
      <c r="AP14" s="273">
        <f ca="1">IF(IF(Bonds!$J$10="no",AR14,AT14)=0,NA(),IF(Bonds!$J$10="no",AR14,AT14))</f>
        <v>0.19970923689173462</v>
      </c>
      <c r="AQ14" s="273">
        <f ca="1">Bonds!$P$32</f>
        <v>-0.12498736259259137</v>
      </c>
      <c r="AR14" s="273">
        <f ca="1">Bonds!$P$34</f>
        <v>0.19970923689173462</v>
      </c>
      <c r="AS14" s="154"/>
      <c r="AT14" s="153"/>
      <c r="AU14" s="154"/>
      <c r="AV14" s="421">
        <v>40574</v>
      </c>
      <c r="AW14" s="154">
        <f>HLOOKUP(AW$1,'Asset Returns'!$F$1:$ZS$109,ROW(),0)</f>
        <v>-0.10098739999999999</v>
      </c>
      <c r="AX14" s="154">
        <f>HLOOKUP(AX$1,'Asset Returns'!$F$1:$ZS$109,ROW(),0)</f>
        <v>2.3430699999999999E-2</v>
      </c>
      <c r="AY14" s="154">
        <f>HLOOKUP(AY$1,'Asset Returns'!$F$1:$ZS$109,ROW(),0)</f>
        <v>3.7733679999999999E-2</v>
      </c>
      <c r="AZ14" s="154">
        <f>HLOOKUP(AZ$1,'Asset Returns'!$F$1:$ZS$109,ROW(),0)</f>
        <v>7.9172800000000005E-3</v>
      </c>
      <c r="BA14" s="154">
        <f>HLOOKUP(BA$1,'Asset Returns'!$F$1:$ZS$109,ROW(),0)</f>
        <v>-0.14190630000000001</v>
      </c>
      <c r="BB14" s="273" t="e">
        <f>IF(IF(Funds!$J$10="no",BG14,BL14)=0,NA(),IF(Funds!$J$10="no",BG14,BL14))</f>
        <v>#N/A</v>
      </c>
      <c r="BC14" s="273" t="e">
        <f>IF(IF(Funds!$J$10="no",BH14,BM14)=0,NA(),IF(Funds!$J$10="no",BH14,BM14))</f>
        <v>#N/A</v>
      </c>
      <c r="BD14" s="273" t="e">
        <f>IF(IF(Funds!$J$10="no",BI14,BN14)=0,NA(),IF(Funds!$J$10="no",BI14,BN14))</f>
        <v>#N/A</v>
      </c>
      <c r="BE14" s="273" t="e">
        <f>IF(IF(Funds!$J$10="no",BJ14,BO14)=0,NA(),IF(Funds!$J$10="no",BJ14,BO14))</f>
        <v>#N/A</v>
      </c>
      <c r="BF14" s="273" t="e">
        <f>IF(IF(Funds!$J$10="no",BK14,BP14)=0,NA(),IF(Funds!$J$10="no",BK14,BP14))</f>
        <v>#N/A</v>
      </c>
      <c r="BG14" s="274">
        <f ca="1">Funds!$R$34</f>
        <v>2.5919346055080732</v>
      </c>
      <c r="BH14" s="274">
        <f ca="1">Funds!$R$36</f>
        <v>1.3378677483181089E-2</v>
      </c>
      <c r="BI14" s="274">
        <f ca="1">Funds!$R$38</f>
        <v>-0.15972963753204919</v>
      </c>
      <c r="BJ14" s="274">
        <f ca="1">Funds!$R$40</f>
        <v>-0.16887551350866659</v>
      </c>
      <c r="BK14" s="274">
        <f ca="1">Funds!$R$42</f>
        <v>-1.9222891726906419</v>
      </c>
      <c r="BL14" s="154"/>
      <c r="BM14" s="153"/>
      <c r="BN14" s="154"/>
      <c r="BO14" s="153"/>
      <c r="BP14" s="154"/>
      <c r="BQ14" s="153"/>
      <c r="BR14" s="154" t="s">
        <v>42</v>
      </c>
      <c r="BS14" s="158">
        <v>0.19524549999999999</v>
      </c>
      <c r="BT14" s="154"/>
      <c r="BU14" s="154" t="s">
        <v>114</v>
      </c>
      <c r="BV14" s="158">
        <f>BV7-BV6</f>
        <v>1.2097298999999999</v>
      </c>
      <c r="BW14" s="158">
        <f>BW7-BW6</f>
        <v>0.98751230000000001</v>
      </c>
      <c r="BX14" s="158">
        <f t="shared" ref="BX14:CD14" si="24">BX7-BX6</f>
        <v>0.73149059999999999</v>
      </c>
      <c r="BY14" s="158">
        <f t="shared" si="24"/>
        <v>0.74307239999999997</v>
      </c>
      <c r="BZ14" s="158">
        <f t="shared" si="24"/>
        <v>0.96643590000000001</v>
      </c>
      <c r="CA14" s="158">
        <f t="shared" si="24"/>
        <v>0.7999312999999999</v>
      </c>
      <c r="CB14" s="158">
        <f t="shared" si="24"/>
        <v>0.88078650000000014</v>
      </c>
      <c r="CC14" s="158">
        <f t="shared" si="24"/>
        <v>0.86924299999999999</v>
      </c>
      <c r="CD14" s="158">
        <f t="shared" si="24"/>
        <v>0.78598699999999999</v>
      </c>
      <c r="CE14" s="158">
        <f>CE7-CE6</f>
        <v>1.0821159</v>
      </c>
      <c r="CF14" s="158">
        <f>CF7-CF6</f>
        <v>0.98139789999999993</v>
      </c>
      <c r="CG14" s="216"/>
      <c r="CH14" s="156" t="s">
        <v>42</v>
      </c>
      <c r="CI14" s="160">
        <v>0.2911861</v>
      </c>
      <c r="CJ14" s="153" t="str">
        <f t="shared" si="16"/>
        <v>Chile</v>
      </c>
      <c r="CK14" s="155" t="s">
        <v>42</v>
      </c>
      <c r="CL14" s="160">
        <v>0.1991116</v>
      </c>
      <c r="CM14" s="153" t="str">
        <f t="shared" si="17"/>
        <v>Chile</v>
      </c>
      <c r="CO14" s="209" t="s">
        <v>45</v>
      </c>
      <c r="CP14" s="160">
        <v>-0.50146400000000002</v>
      </c>
      <c r="CQ14" s="212"/>
      <c r="CR14" s="211" t="s">
        <v>45</v>
      </c>
      <c r="CS14" s="159">
        <v>-0.3265496</v>
      </c>
    </row>
    <row r="15" spans="1:98" s="155" customFormat="1">
      <c r="A15" s="153"/>
      <c r="B15" s="153"/>
      <c r="C15" s="153"/>
      <c r="D15" s="153"/>
      <c r="E15" s="153"/>
      <c r="F15" s="421">
        <v>40602</v>
      </c>
      <c r="G15" s="272">
        <f>BMG!F15</f>
        <v>2.2718499999999999E-2</v>
      </c>
      <c r="H15" s="272"/>
      <c r="I15" s="272"/>
      <c r="J15" s="272"/>
      <c r="K15" s="272"/>
      <c r="L15" s="272"/>
      <c r="M15" s="272"/>
      <c r="N15" s="272">
        <f t="shared" si="15"/>
        <v>6.6335809243512012E-2</v>
      </c>
      <c r="O15" s="272"/>
      <c r="P15" s="421">
        <v>40602</v>
      </c>
      <c r="Q15" s="154">
        <f>HLOOKUP(Q$1,'Asset Returns'!$F$1:$N$109,ROW(),0)</f>
        <v>-4.270663857460022E-2</v>
      </c>
      <c r="R15" s="154">
        <f>HLOOKUP(R$1,'Asset Returns'!$F$1:$N$109,ROW(),0)</f>
        <v>0.12342927604913712</v>
      </c>
      <c r="S15" s="154">
        <f>HLOOKUP(S$1,'Asset Returns'!$F$1:$N$109,ROW(),0)</f>
        <v>4.5412324368953705E-2</v>
      </c>
      <c r="T15" s="154">
        <f>HLOOKUP(T$1,'Asset Returns'!$F$1:$N$109,ROW(),0)</f>
        <v>3.0708408448845148E-3</v>
      </c>
      <c r="U15" s="154">
        <f>HLOOKUP(U$1,'Asset Returns'!$F$1:$N$109,ROW(),0)</f>
        <v>4.3772917240858078E-2</v>
      </c>
      <c r="V15" s="273" t="e">
        <f>IF(IF(Equity!$J$10="no",AA15,AF15)=0,NA(),IF(Equity!$J$10="no",AA15,AF15))</f>
        <v>#N/A</v>
      </c>
      <c r="W15" s="273" t="e">
        <f>IF(IF(Equity!$J$10="no",AB15,AG15)=0,NA(),IF(Equity!$J$10="no",AB15,AG15))</f>
        <v>#N/A</v>
      </c>
      <c r="X15" s="273" t="e">
        <f>IF(IF(Equity!$J$10="no",AC15,AH15)=0,NA(),IF(Equity!$J$10="no",AC15,AH15))</f>
        <v>#N/A</v>
      </c>
      <c r="Y15" s="273" t="e">
        <f>IF(IF(Equity!$J$10="no",AD15,AI15)=0,NA(),IF(Equity!$J$10="no",AD15,AI15))</f>
        <v>#N/A</v>
      </c>
      <c r="Z15" s="273" t="e">
        <f>IF(IF(Equity!$J$10="no",AE15,AJ15)=0,NA(),IF(Equity!$J$10="no",AE15,AJ15))</f>
        <v>#N/A</v>
      </c>
      <c r="AA15" s="274">
        <f ca="1">Equity!$R$34</f>
        <v>0.64097224418739052</v>
      </c>
      <c r="AB15" s="274">
        <f ca="1">Equity!$R$36</f>
        <v>-0.78557102570241866</v>
      </c>
      <c r="AC15" s="274">
        <f ca="1">Equity!$R$38</f>
        <v>0.9378377404978776</v>
      </c>
      <c r="AD15" s="274">
        <f ca="1">Equity!$R$40</f>
        <v>0.17519882647973573</v>
      </c>
      <c r="AE15" s="274">
        <f ca="1">Equity!$R$42</f>
        <v>7.3760094442444454E-2</v>
      </c>
      <c r="AF15" s="154"/>
      <c r="AG15" s="153"/>
      <c r="AH15" s="154"/>
      <c r="AI15" s="153"/>
      <c r="AJ15" s="154"/>
      <c r="AK15" s="154"/>
      <c r="AL15" s="421">
        <v>40602</v>
      </c>
      <c r="AM15" s="154">
        <f>HLOOKUP(AM$1,'Asset Returns'!$F$1:$ZS$109,ROW(),0)</f>
        <v>1.1883841276930429E-2</v>
      </c>
      <c r="AN15" s="154">
        <f>HLOOKUP(AN$1,'Asset Returns'!$F$1:$ZS$109,ROW(),0)</f>
        <v>6.261340693602957E-4</v>
      </c>
      <c r="AO15" s="273">
        <f ca="1">IF(IF(Bonds!$J$10="no",AQ15,AS15)=0,NA(),IF(Bonds!$J$10="no",AQ15,AS15))</f>
        <v>-0.12498736259259137</v>
      </c>
      <c r="AP15" s="273">
        <f ca="1">IF(IF(Bonds!$J$10="no",AR15,AT15)=0,NA(),IF(Bonds!$J$10="no",AR15,AT15))</f>
        <v>0.19970923689173462</v>
      </c>
      <c r="AQ15" s="273">
        <f ca="1">Bonds!$P$32</f>
        <v>-0.12498736259259137</v>
      </c>
      <c r="AR15" s="273">
        <f ca="1">Bonds!$P$34</f>
        <v>0.19970923689173462</v>
      </c>
      <c r="AS15" s="154"/>
      <c r="AT15" s="153"/>
      <c r="AU15" s="154"/>
      <c r="AV15" s="421">
        <v>40602</v>
      </c>
      <c r="AW15" s="154">
        <f>HLOOKUP(AW$1,'Asset Returns'!$F$1:$ZS$109,ROW(),0)</f>
        <v>8.8367400000000013E-2</v>
      </c>
      <c r="AX15" s="154">
        <f>HLOOKUP(AX$1,'Asset Returns'!$F$1:$ZS$109,ROW(),0)</f>
        <v>3.5241500000000002E-2</v>
      </c>
      <c r="AY15" s="154">
        <f>HLOOKUP(AY$1,'Asset Returns'!$F$1:$ZS$109,ROW(),0)</f>
        <v>2.8744139999999998E-2</v>
      </c>
      <c r="AZ15" s="154">
        <f>HLOOKUP(AZ$1,'Asset Returns'!$F$1:$ZS$109,ROW(),0)</f>
        <v>2.7162069999999996E-2</v>
      </c>
      <c r="BA15" s="154">
        <f>HLOOKUP(BA$1,'Asset Returns'!$F$1:$ZS$109,ROW(),0)</f>
        <v>-0.13993169999999999</v>
      </c>
      <c r="BB15" s="273" t="e">
        <f>IF(IF(Funds!$J$10="no",BG15,BL15)=0,NA(),IF(Funds!$J$10="no",BG15,BL15))</f>
        <v>#N/A</v>
      </c>
      <c r="BC15" s="273" t="e">
        <f>IF(IF(Funds!$J$10="no",BH15,BM15)=0,NA(),IF(Funds!$J$10="no",BH15,BM15))</f>
        <v>#N/A</v>
      </c>
      <c r="BD15" s="273" t="e">
        <f>IF(IF(Funds!$J$10="no",BI15,BN15)=0,NA(),IF(Funds!$J$10="no",BI15,BN15))</f>
        <v>#N/A</v>
      </c>
      <c r="BE15" s="273" t="e">
        <f>IF(IF(Funds!$J$10="no",BJ15,BO15)=0,NA(),IF(Funds!$J$10="no",BJ15,BO15))</f>
        <v>#N/A</v>
      </c>
      <c r="BF15" s="273" t="e">
        <f>IF(IF(Funds!$J$10="no",BK15,BP15)=0,NA(),IF(Funds!$J$10="no",BK15,BP15))</f>
        <v>#N/A</v>
      </c>
      <c r="BG15" s="274">
        <f ca="1">Funds!$R$34</f>
        <v>2.5919346055080732</v>
      </c>
      <c r="BH15" s="274">
        <f ca="1">Funds!$R$36</f>
        <v>1.3378677483181089E-2</v>
      </c>
      <c r="BI15" s="274">
        <f ca="1">Funds!$R$38</f>
        <v>-0.15972963753204919</v>
      </c>
      <c r="BJ15" s="274">
        <f ca="1">Funds!$R$40</f>
        <v>-0.16887551350866659</v>
      </c>
      <c r="BK15" s="274">
        <f ca="1">Funds!$R$42</f>
        <v>-1.9222891726906419</v>
      </c>
      <c r="BL15" s="154"/>
      <c r="BM15" s="153"/>
      <c r="BN15" s="154"/>
      <c r="BO15" s="153"/>
      <c r="BP15" s="154"/>
      <c r="BQ15" s="153"/>
      <c r="BR15" s="154" t="s">
        <v>43</v>
      </c>
      <c r="BS15" s="158">
        <v>0.31171159999999998</v>
      </c>
      <c r="BT15" s="154"/>
      <c r="BU15" s="154"/>
      <c r="BV15" s="153"/>
      <c r="BW15" s="153"/>
      <c r="BX15" s="154"/>
      <c r="BY15" s="153"/>
      <c r="BZ15" s="154"/>
      <c r="CA15" s="154"/>
      <c r="CB15" s="154"/>
      <c r="CC15" s="153"/>
      <c r="CD15" s="153"/>
      <c r="CE15" s="154"/>
      <c r="CF15" s="153"/>
      <c r="CG15" s="216"/>
      <c r="CH15" s="156" t="s">
        <v>43</v>
      </c>
      <c r="CI15" s="160">
        <v>0.14328479999999999</v>
      </c>
      <c r="CJ15" s="153" t="str">
        <f t="shared" si="16"/>
        <v>China</v>
      </c>
      <c r="CK15" s="155" t="s">
        <v>43</v>
      </c>
      <c r="CL15" s="160">
        <v>0.1907711</v>
      </c>
      <c r="CM15" s="153" t="str">
        <f t="shared" si="17"/>
        <v>China</v>
      </c>
      <c r="CO15" s="209" t="s">
        <v>46</v>
      </c>
      <c r="CP15" s="160">
        <v>-0.48613679999999998</v>
      </c>
      <c r="CQ15" s="212"/>
      <c r="CR15" s="211" t="s">
        <v>46</v>
      </c>
      <c r="CS15" s="159">
        <v>-0.37537599999999999</v>
      </c>
    </row>
    <row r="16" spans="1:98" s="155" customFormat="1">
      <c r="A16" s="153"/>
      <c r="B16" s="153"/>
      <c r="C16" s="153"/>
      <c r="D16" s="153"/>
      <c r="E16" s="153"/>
      <c r="F16" s="421">
        <v>40633</v>
      </c>
      <c r="G16" s="272">
        <f>BMG!F16</f>
        <v>9.8689999999999997E-4</v>
      </c>
      <c r="H16" s="272"/>
      <c r="I16" s="272"/>
      <c r="J16" s="272"/>
      <c r="K16" s="272"/>
      <c r="L16" s="272"/>
      <c r="M16" s="272"/>
      <c r="N16" s="272">
        <f t="shared" si="15"/>
        <v>6.7388176053654547E-2</v>
      </c>
      <c r="O16" s="272"/>
      <c r="P16" s="421">
        <v>40633</v>
      </c>
      <c r="Q16" s="154">
        <f>HLOOKUP(Q$1,'Asset Returns'!$F$1:$N$109,ROW(),0)</f>
        <v>0.17016640305519104</v>
      </c>
      <c r="R16" s="154">
        <f>HLOOKUP(R$1,'Asset Returns'!$F$1:$N$109,ROW(),0)</f>
        <v>-0.12519815564155579</v>
      </c>
      <c r="S16" s="154">
        <f>HLOOKUP(S$1,'Asset Returns'!$F$1:$N$109,ROW(),0)</f>
        <v>-9.5655865967273712E-2</v>
      </c>
      <c r="T16" s="154">
        <f>HLOOKUP(T$1,'Asset Returns'!$F$1:$N$109,ROW(),0)</f>
        <v>7.2511308826506138E-3</v>
      </c>
      <c r="U16" s="154">
        <f>HLOOKUP(U$1,'Asset Returns'!$F$1:$N$109,ROW(),0)</f>
        <v>-3.8940582424402237E-2</v>
      </c>
      <c r="V16" s="273" t="e">
        <f>IF(IF(Equity!$J$10="no",AA16,AF16)=0,NA(),IF(Equity!$J$10="no",AA16,AF16))</f>
        <v>#N/A</v>
      </c>
      <c r="W16" s="273" t="e">
        <f>IF(IF(Equity!$J$10="no",AB16,AG16)=0,NA(),IF(Equity!$J$10="no",AB16,AG16))</f>
        <v>#N/A</v>
      </c>
      <c r="X16" s="273" t="e">
        <f>IF(IF(Equity!$J$10="no",AC16,AH16)=0,NA(),IF(Equity!$J$10="no",AC16,AH16))</f>
        <v>#N/A</v>
      </c>
      <c r="Y16" s="273" t="e">
        <f>IF(IF(Equity!$J$10="no",AD16,AI16)=0,NA(),IF(Equity!$J$10="no",AD16,AI16))</f>
        <v>#N/A</v>
      </c>
      <c r="Z16" s="273" t="e">
        <f>IF(IF(Equity!$J$10="no",AE16,AJ16)=0,NA(),IF(Equity!$J$10="no",AE16,AJ16))</f>
        <v>#N/A</v>
      </c>
      <c r="AA16" s="274">
        <f ca="1">Equity!$R$34</f>
        <v>0.64097224418739052</v>
      </c>
      <c r="AB16" s="274">
        <f ca="1">Equity!$R$36</f>
        <v>-0.78557102570241866</v>
      </c>
      <c r="AC16" s="274">
        <f ca="1">Equity!$R$38</f>
        <v>0.9378377404978776</v>
      </c>
      <c r="AD16" s="274">
        <f ca="1">Equity!$R$40</f>
        <v>0.17519882647973573</v>
      </c>
      <c r="AE16" s="274">
        <f ca="1">Equity!$R$42</f>
        <v>7.3760094442444454E-2</v>
      </c>
      <c r="AF16" s="154"/>
      <c r="AG16" s="153"/>
      <c r="AH16" s="154"/>
      <c r="AI16" s="153"/>
      <c r="AJ16" s="154"/>
      <c r="AK16" s="154"/>
      <c r="AL16" s="421">
        <v>40633</v>
      </c>
      <c r="AM16" s="154">
        <f>HLOOKUP(AM$1,'Asset Returns'!$F$1:$ZS$109,ROW(),0)</f>
        <v>-1.727099145085953E-3</v>
      </c>
      <c r="AN16" s="154">
        <f>HLOOKUP(AN$1,'Asset Returns'!$F$1:$ZS$109,ROW(),0)</f>
        <v>1.5426462512929895E-2</v>
      </c>
      <c r="AO16" s="273">
        <f ca="1">IF(IF(Bonds!$J$10="no",AQ16,AS16)=0,NA(),IF(Bonds!$J$10="no",AQ16,AS16))</f>
        <v>-0.12498736259259137</v>
      </c>
      <c r="AP16" s="273">
        <f ca="1">IF(IF(Bonds!$J$10="no",AR16,AT16)=0,NA(),IF(Bonds!$J$10="no",AR16,AT16))</f>
        <v>0.19970923689173462</v>
      </c>
      <c r="AQ16" s="273">
        <f ca="1">Bonds!$P$32</f>
        <v>-0.12498736259259137</v>
      </c>
      <c r="AR16" s="273">
        <f ca="1">Bonds!$P$34</f>
        <v>0.19970923689173462</v>
      </c>
      <c r="AS16" s="154"/>
      <c r="AT16" s="153"/>
      <c r="AU16" s="154"/>
      <c r="AV16" s="421">
        <v>40633</v>
      </c>
      <c r="AW16" s="154">
        <f>HLOOKUP(AW$1,'Asset Returns'!$F$1:$ZS$109,ROW(),0)</f>
        <v>-1.3761499999999999E-2</v>
      </c>
      <c r="AX16" s="154">
        <f>HLOOKUP(AX$1,'Asset Returns'!$F$1:$ZS$109,ROW(),0)</f>
        <v>-1.24458E-2</v>
      </c>
      <c r="AY16" s="154">
        <f>HLOOKUP(AY$1,'Asset Returns'!$F$1:$ZS$109,ROW(),0)</f>
        <v>1.2455039999999999E-2</v>
      </c>
      <c r="AZ16" s="154">
        <f>HLOOKUP(AZ$1,'Asset Returns'!$F$1:$ZS$109,ROW(),0)</f>
        <v>-9.7505200000000004E-3</v>
      </c>
      <c r="BA16" s="154">
        <f>HLOOKUP(BA$1,'Asset Returns'!$F$1:$ZS$109,ROW(),0)</f>
        <v>-4.4011500000000002E-2</v>
      </c>
      <c r="BB16" s="273" t="e">
        <f>IF(IF(Funds!$J$10="no",BG16,BL16)=0,NA(),IF(Funds!$J$10="no",BG16,BL16))</f>
        <v>#N/A</v>
      </c>
      <c r="BC16" s="273" t="e">
        <f>IF(IF(Funds!$J$10="no",BH16,BM16)=0,NA(),IF(Funds!$J$10="no",BH16,BM16))</f>
        <v>#N/A</v>
      </c>
      <c r="BD16" s="273" t="e">
        <f>IF(IF(Funds!$J$10="no",BI16,BN16)=0,NA(),IF(Funds!$J$10="no",BI16,BN16))</f>
        <v>#N/A</v>
      </c>
      <c r="BE16" s="273" t="e">
        <f>IF(IF(Funds!$J$10="no",BJ16,BO16)=0,NA(),IF(Funds!$J$10="no",BJ16,BO16))</f>
        <v>#N/A</v>
      </c>
      <c r="BF16" s="273" t="e">
        <f>IF(IF(Funds!$J$10="no",BK16,BP16)=0,NA(),IF(Funds!$J$10="no",BK16,BP16))</f>
        <v>#N/A</v>
      </c>
      <c r="BG16" s="274">
        <f ca="1">Funds!$R$34</f>
        <v>2.5919346055080732</v>
      </c>
      <c r="BH16" s="274">
        <f ca="1">Funds!$R$36</f>
        <v>1.3378677483181089E-2</v>
      </c>
      <c r="BI16" s="274">
        <f ca="1">Funds!$R$38</f>
        <v>-0.15972963753204919</v>
      </c>
      <c r="BJ16" s="274">
        <f ca="1">Funds!$R$40</f>
        <v>-0.16887551350866659</v>
      </c>
      <c r="BK16" s="274">
        <f ca="1">Funds!$R$42</f>
        <v>-1.9222891726906419</v>
      </c>
      <c r="BL16" s="154"/>
      <c r="BM16" s="153"/>
      <c r="BN16" s="154"/>
      <c r="BO16" s="153"/>
      <c r="BP16" s="154"/>
      <c r="BQ16" s="153"/>
      <c r="BR16" s="154" t="s">
        <v>44</v>
      </c>
      <c r="BS16" s="158">
        <v>0.2455609</v>
      </c>
      <c r="BT16" s="154"/>
      <c r="BU16" s="154"/>
      <c r="BV16" s="153"/>
      <c r="BW16" s="153"/>
      <c r="BX16" s="154"/>
      <c r="BY16" s="153"/>
      <c r="BZ16" s="154"/>
      <c r="CA16" s="154"/>
      <c r="CB16" s="154"/>
      <c r="CC16" s="153"/>
      <c r="CD16" s="153"/>
      <c r="CE16" s="154"/>
      <c r="CF16" s="153"/>
      <c r="CG16" s="217"/>
      <c r="CH16" s="156" t="s">
        <v>44</v>
      </c>
      <c r="CI16" s="160">
        <v>0.20460790000000001</v>
      </c>
      <c r="CJ16" s="153" t="str">
        <f t="shared" si="16"/>
        <v>Colombia</v>
      </c>
      <c r="CK16" s="155" t="s">
        <v>44</v>
      </c>
      <c r="CL16" s="158">
        <v>0.1890114</v>
      </c>
      <c r="CM16" s="153" t="str">
        <f t="shared" si="17"/>
        <v>Colombia</v>
      </c>
      <c r="CN16" s="156"/>
      <c r="CO16" s="209" t="s">
        <v>41</v>
      </c>
      <c r="CP16" s="160">
        <v>-0.28542420000000002</v>
      </c>
      <c r="CQ16" s="212"/>
      <c r="CR16" s="211" t="s">
        <v>41</v>
      </c>
      <c r="CS16" s="159">
        <v>-0.28542420000000002</v>
      </c>
      <c r="CT16" s="156"/>
    </row>
    <row r="17" spans="1:98" s="155" customFormat="1">
      <c r="A17" s="153"/>
      <c r="B17" s="153"/>
      <c r="C17" s="153"/>
      <c r="D17" s="153"/>
      <c r="E17" s="153"/>
      <c r="F17" s="421">
        <v>40663</v>
      </c>
      <c r="G17" s="272">
        <f>BMG!F17</f>
        <v>-2.128E-2</v>
      </c>
      <c r="H17" s="272"/>
      <c r="I17" s="272"/>
      <c r="J17" s="272"/>
      <c r="K17" s="272"/>
      <c r="L17" s="272"/>
      <c r="M17" s="272"/>
      <c r="N17" s="272">
        <f t="shared" si="15"/>
        <v>4.4674155667232762E-2</v>
      </c>
      <c r="O17" s="272"/>
      <c r="P17" s="421">
        <v>40663</v>
      </c>
      <c r="Q17" s="154">
        <f>HLOOKUP(Q$1,'Asset Returns'!$F$1:$N$109,ROW(),0)</f>
        <v>-6.9666438503190875E-4</v>
      </c>
      <c r="R17" s="154">
        <f>HLOOKUP(R$1,'Asset Returns'!$F$1:$N$109,ROW(),0)</f>
        <v>-1.5144772827625275E-2</v>
      </c>
      <c r="S17" s="154">
        <f>HLOOKUP(S$1,'Asset Returns'!$F$1:$N$109,ROW(),0)</f>
        <v>6.0143981128931046E-2</v>
      </c>
      <c r="T17" s="154">
        <f>HLOOKUP(T$1,'Asset Returns'!$F$1:$N$109,ROW(),0)</f>
        <v>4.605383425951004E-2</v>
      </c>
      <c r="U17" s="154">
        <f>HLOOKUP(U$1,'Asset Returns'!$F$1:$N$109,ROW(),0)</f>
        <v>1.1761157773435116E-2</v>
      </c>
      <c r="V17" s="273" t="e">
        <f>IF(IF(Equity!$J$10="no",AA17,AF17)=0,NA(),IF(Equity!$J$10="no",AA17,AF17))</f>
        <v>#N/A</v>
      </c>
      <c r="W17" s="273" t="e">
        <f>IF(IF(Equity!$J$10="no",AB17,AG17)=0,NA(),IF(Equity!$J$10="no",AB17,AG17))</f>
        <v>#N/A</v>
      </c>
      <c r="X17" s="273" t="e">
        <f>IF(IF(Equity!$J$10="no",AC17,AH17)=0,NA(),IF(Equity!$J$10="no",AC17,AH17))</f>
        <v>#N/A</v>
      </c>
      <c r="Y17" s="273" t="e">
        <f>IF(IF(Equity!$J$10="no",AD17,AI17)=0,NA(),IF(Equity!$J$10="no",AD17,AI17))</f>
        <v>#N/A</v>
      </c>
      <c r="Z17" s="273" t="e">
        <f>IF(IF(Equity!$J$10="no",AE17,AJ17)=0,NA(),IF(Equity!$J$10="no",AE17,AJ17))</f>
        <v>#N/A</v>
      </c>
      <c r="AA17" s="274">
        <f ca="1">Equity!$R$34</f>
        <v>0.64097224418739052</v>
      </c>
      <c r="AB17" s="274">
        <f ca="1">Equity!$R$36</f>
        <v>-0.78557102570241866</v>
      </c>
      <c r="AC17" s="274">
        <f ca="1">Equity!$R$38</f>
        <v>0.9378377404978776</v>
      </c>
      <c r="AD17" s="274">
        <f ca="1">Equity!$R$40</f>
        <v>0.17519882647973573</v>
      </c>
      <c r="AE17" s="274">
        <f ca="1">Equity!$R$42</f>
        <v>7.3760094442444454E-2</v>
      </c>
      <c r="AF17" s="154"/>
      <c r="AG17" s="153"/>
      <c r="AH17" s="154"/>
      <c r="AI17" s="153"/>
      <c r="AJ17" s="154"/>
      <c r="AK17" s="154"/>
      <c r="AL17" s="421">
        <v>40663</v>
      </c>
      <c r="AM17" s="154">
        <f>HLOOKUP(AM$1,'Asset Returns'!$F$1:$ZS$109,ROW(),0)</f>
        <v>1.4354917772801068E-2</v>
      </c>
      <c r="AN17" s="154">
        <f>HLOOKUP(AN$1,'Asset Returns'!$F$1:$ZS$109,ROW(),0)</f>
        <v>7.5268817204301453E-3</v>
      </c>
      <c r="AO17" s="273">
        <f ca="1">IF(IF(Bonds!$J$10="no",AQ17,AS17)=0,NA(),IF(Bonds!$J$10="no",AQ17,AS17))</f>
        <v>-0.12498736259259137</v>
      </c>
      <c r="AP17" s="273">
        <f ca="1">IF(IF(Bonds!$J$10="no",AR17,AT17)=0,NA(),IF(Bonds!$J$10="no",AR17,AT17))</f>
        <v>0.19970923689173462</v>
      </c>
      <c r="AQ17" s="273">
        <f ca="1">Bonds!$P$32</f>
        <v>-0.12498736259259137</v>
      </c>
      <c r="AR17" s="273">
        <f ca="1">Bonds!$P$34</f>
        <v>0.19970923689173462</v>
      </c>
      <c r="AS17" s="154"/>
      <c r="AT17" s="153"/>
      <c r="AU17" s="154"/>
      <c r="AV17" s="421">
        <v>40663</v>
      </c>
      <c r="AW17" s="154">
        <f>HLOOKUP(AW$1,'Asset Returns'!$F$1:$ZS$109,ROW(),0)</f>
        <v>2.1395300000000003E-2</v>
      </c>
      <c r="AX17" s="154">
        <f>HLOOKUP(AX$1,'Asset Returns'!$F$1:$ZS$109,ROW(),0)</f>
        <v>4.2289800000000002E-2</v>
      </c>
      <c r="AY17" s="154">
        <f>HLOOKUP(AY$1,'Asset Returns'!$F$1:$ZS$109,ROW(),0)</f>
        <v>7.4233049999999995E-2</v>
      </c>
      <c r="AZ17" s="154">
        <f>HLOOKUP(AZ$1,'Asset Returns'!$F$1:$ZS$109,ROW(),0)</f>
        <v>5.4458300000000001E-2</v>
      </c>
      <c r="BA17" s="154">
        <f>HLOOKUP(BA$1,'Asset Returns'!$F$1:$ZS$109,ROW(),0)</f>
        <v>-3.2452800000000004E-2</v>
      </c>
      <c r="BB17" s="273" t="e">
        <f>IF(IF(Funds!$J$10="no",BG17,BL17)=0,NA(),IF(Funds!$J$10="no",BG17,BL17))</f>
        <v>#N/A</v>
      </c>
      <c r="BC17" s="273" t="e">
        <f>IF(IF(Funds!$J$10="no",BH17,BM17)=0,NA(),IF(Funds!$J$10="no",BH17,BM17))</f>
        <v>#N/A</v>
      </c>
      <c r="BD17" s="273" t="e">
        <f>IF(IF(Funds!$J$10="no",BI17,BN17)=0,NA(),IF(Funds!$J$10="no",BI17,BN17))</f>
        <v>#N/A</v>
      </c>
      <c r="BE17" s="273" t="e">
        <f>IF(IF(Funds!$J$10="no",BJ17,BO17)=0,NA(),IF(Funds!$J$10="no",BJ17,BO17))</f>
        <v>#N/A</v>
      </c>
      <c r="BF17" s="273" t="e">
        <f>IF(IF(Funds!$J$10="no",BK17,BP17)=0,NA(),IF(Funds!$J$10="no",BK17,BP17))</f>
        <v>#N/A</v>
      </c>
      <c r="BG17" s="274">
        <f ca="1">Funds!$R$34</f>
        <v>2.5919346055080732</v>
      </c>
      <c r="BH17" s="274">
        <f ca="1">Funds!$R$36</f>
        <v>1.3378677483181089E-2</v>
      </c>
      <c r="BI17" s="274">
        <f ca="1">Funds!$R$38</f>
        <v>-0.15972963753204919</v>
      </c>
      <c r="BJ17" s="274">
        <f ca="1">Funds!$R$40</f>
        <v>-0.16887551350866659</v>
      </c>
      <c r="BK17" s="274">
        <f ca="1">Funds!$R$42</f>
        <v>-1.9222891726906419</v>
      </c>
      <c r="BL17" s="154"/>
      <c r="BM17" s="153"/>
      <c r="BN17" s="154"/>
      <c r="BO17" s="153"/>
      <c r="BP17" s="154"/>
      <c r="BQ17" s="153"/>
      <c r="BR17" s="154" t="s">
        <v>45</v>
      </c>
      <c r="BS17" s="158">
        <v>-0.24836330000000001</v>
      </c>
      <c r="BT17" s="154"/>
      <c r="BU17" s="154"/>
      <c r="BV17" s="153"/>
      <c r="BW17" s="153"/>
      <c r="BX17" s="154"/>
      <c r="BY17" s="153"/>
      <c r="BZ17" s="154"/>
      <c r="CA17" s="154"/>
      <c r="CB17" s="154"/>
      <c r="CC17" s="153"/>
      <c r="CD17" s="153"/>
      <c r="CE17" s="154"/>
      <c r="CF17" s="153"/>
      <c r="CG17" s="217"/>
      <c r="CH17" s="154" t="s">
        <v>45</v>
      </c>
      <c r="CI17" s="158">
        <v>-0.50146400000000002</v>
      </c>
      <c r="CJ17" s="153" t="str">
        <f t="shared" si="16"/>
        <v>Northern Cyprus</v>
      </c>
      <c r="CK17" s="154" t="s">
        <v>45</v>
      </c>
      <c r="CL17" s="158">
        <v>-0.3265496</v>
      </c>
      <c r="CM17" s="153" t="str">
        <f t="shared" si="17"/>
        <v>Northern Cyprus</v>
      </c>
      <c r="CN17" s="156"/>
      <c r="CO17" s="209" t="s">
        <v>48</v>
      </c>
      <c r="CP17" s="159">
        <v>-0.40754259999999998</v>
      </c>
      <c r="CQ17" s="211"/>
      <c r="CR17" s="212" t="s">
        <v>48</v>
      </c>
      <c r="CS17" s="160">
        <v>-0.40008959999999999</v>
      </c>
      <c r="CT17" s="156"/>
    </row>
    <row r="18" spans="1:98" s="155" customFormat="1">
      <c r="A18" s="153"/>
      <c r="B18" s="153"/>
      <c r="C18" s="153"/>
      <c r="D18" s="153"/>
      <c r="E18" s="153"/>
      <c r="F18" s="421">
        <v>40694</v>
      </c>
      <c r="G18" s="272">
        <f>BMG!F18</f>
        <v>-1.05789E-2</v>
      </c>
      <c r="H18" s="272"/>
      <c r="I18" s="272"/>
      <c r="J18" s="272"/>
      <c r="K18" s="272"/>
      <c r="L18" s="272"/>
      <c r="M18" s="272"/>
      <c r="N18" s="272">
        <f t="shared" si="15"/>
        <v>3.3622652241844797E-2</v>
      </c>
      <c r="O18" s="272"/>
      <c r="P18" s="421">
        <v>40694</v>
      </c>
      <c r="Q18" s="154">
        <f>HLOOKUP(Q$1,'Asset Returns'!$F$1:$N$109,ROW(),0)</f>
        <v>-0.13076105713844299</v>
      </c>
      <c r="R18" s="154">
        <f>HLOOKUP(R$1,'Asset Returns'!$F$1:$N$109,ROW(),0)</f>
        <v>5.1332909613847733E-2</v>
      </c>
      <c r="S18" s="154">
        <f>HLOOKUP(S$1,'Asset Returns'!$F$1:$N$109,ROW(),0)</f>
        <v>8.7378118187189102E-3</v>
      </c>
      <c r="T18" s="154">
        <f>HLOOKUP(T$1,'Asset Returns'!$F$1:$N$109,ROW(),0)</f>
        <v>-5.2750660106539726E-3</v>
      </c>
      <c r="U18" s="154">
        <f>HLOOKUP(U$1,'Asset Returns'!$F$1:$N$109,ROW(),0)</f>
        <v>3.2190758734941483E-2</v>
      </c>
      <c r="V18" s="273" t="e">
        <f>IF(IF(Equity!$J$10="no",AA18,AF18)=0,NA(),IF(Equity!$J$10="no",AA18,AF18))</f>
        <v>#N/A</v>
      </c>
      <c r="W18" s="273" t="e">
        <f>IF(IF(Equity!$J$10="no",AB18,AG18)=0,NA(),IF(Equity!$J$10="no",AB18,AG18))</f>
        <v>#N/A</v>
      </c>
      <c r="X18" s="273" t="e">
        <f>IF(IF(Equity!$J$10="no",AC18,AH18)=0,NA(),IF(Equity!$J$10="no",AC18,AH18))</f>
        <v>#N/A</v>
      </c>
      <c r="Y18" s="273" t="e">
        <f>IF(IF(Equity!$J$10="no",AD18,AI18)=0,NA(),IF(Equity!$J$10="no",AD18,AI18))</f>
        <v>#N/A</v>
      </c>
      <c r="Z18" s="273" t="e">
        <f>IF(IF(Equity!$J$10="no",AE18,AJ18)=0,NA(),IF(Equity!$J$10="no",AE18,AJ18))</f>
        <v>#N/A</v>
      </c>
      <c r="AA18" s="274">
        <f ca="1">Equity!$R$34</f>
        <v>0.64097224418739052</v>
      </c>
      <c r="AB18" s="274">
        <f ca="1">Equity!$R$36</f>
        <v>-0.78557102570241866</v>
      </c>
      <c r="AC18" s="274">
        <f ca="1">Equity!$R$38</f>
        <v>0.9378377404978776</v>
      </c>
      <c r="AD18" s="274">
        <f ca="1">Equity!$R$40</f>
        <v>0.17519882647973573</v>
      </c>
      <c r="AE18" s="274">
        <f ca="1">Equity!$R$42</f>
        <v>7.3760094442444454E-2</v>
      </c>
      <c r="AF18" s="154"/>
      <c r="AG18" s="153"/>
      <c r="AH18" s="154"/>
      <c r="AI18" s="153"/>
      <c r="AJ18" s="154"/>
      <c r="AK18" s="154"/>
      <c r="AL18" s="421">
        <v>40694</v>
      </c>
      <c r="AM18" s="154">
        <f>HLOOKUP(AM$1,'Asset Returns'!$F$1:$ZS$109,ROW(),0)</f>
        <v>2.2850347516688796E-2</v>
      </c>
      <c r="AN18" s="154">
        <f>HLOOKUP(AN$1,'Asset Returns'!$F$1:$ZS$109,ROW(),0)</f>
        <v>3.0406860266996016E-2</v>
      </c>
      <c r="AO18" s="273">
        <f ca="1">IF(IF(Bonds!$J$10="no",AQ18,AS18)=0,NA(),IF(Bonds!$J$10="no",AQ18,AS18))</f>
        <v>-0.12498736259259137</v>
      </c>
      <c r="AP18" s="273">
        <f ca="1">IF(IF(Bonds!$J$10="no",AR18,AT18)=0,NA(),IF(Bonds!$J$10="no",AR18,AT18))</f>
        <v>0.19970923689173462</v>
      </c>
      <c r="AQ18" s="273">
        <f ca="1">Bonds!$P$32</f>
        <v>-0.12498736259259137</v>
      </c>
      <c r="AR18" s="273">
        <f ca="1">Bonds!$P$34</f>
        <v>0.19970923689173462</v>
      </c>
      <c r="AS18" s="154"/>
      <c r="AT18" s="153"/>
      <c r="AU18" s="154"/>
      <c r="AV18" s="421">
        <v>40694</v>
      </c>
      <c r="AW18" s="154">
        <f>HLOOKUP(AW$1,'Asset Returns'!$F$1:$ZS$109,ROW(),0)</f>
        <v>-8.0145700000000014E-2</v>
      </c>
      <c r="AX18" s="154">
        <f>HLOOKUP(AX$1,'Asset Returns'!$F$1:$ZS$109,ROW(),0)</f>
        <v>-2.0167099999999997E-2</v>
      </c>
      <c r="AY18" s="154">
        <f>HLOOKUP(AY$1,'Asset Returns'!$F$1:$ZS$109,ROW(),0)</f>
        <v>-4.0210160000000002E-2</v>
      </c>
      <c r="AZ18" s="154">
        <f>HLOOKUP(AZ$1,'Asset Returns'!$F$1:$ZS$109,ROW(),0)</f>
        <v>-3.3204250000000005E-2</v>
      </c>
      <c r="BA18" s="154">
        <f>HLOOKUP(BA$1,'Asset Returns'!$F$1:$ZS$109,ROW(),0)</f>
        <v>7.7223100000000003E-2</v>
      </c>
      <c r="BB18" s="273" t="e">
        <f>IF(IF(Funds!$J$10="no",BG18,BL18)=0,NA(),IF(Funds!$J$10="no",BG18,BL18))</f>
        <v>#N/A</v>
      </c>
      <c r="BC18" s="273" t="e">
        <f>IF(IF(Funds!$J$10="no",BH18,BM18)=0,NA(),IF(Funds!$J$10="no",BH18,BM18))</f>
        <v>#N/A</v>
      </c>
      <c r="BD18" s="273" t="e">
        <f>IF(IF(Funds!$J$10="no",BI18,BN18)=0,NA(),IF(Funds!$J$10="no",BI18,BN18))</f>
        <v>#N/A</v>
      </c>
      <c r="BE18" s="273" t="e">
        <f>IF(IF(Funds!$J$10="no",BJ18,BO18)=0,NA(),IF(Funds!$J$10="no",BJ18,BO18))</f>
        <v>#N/A</v>
      </c>
      <c r="BF18" s="273" t="e">
        <f>IF(IF(Funds!$J$10="no",BK18,BP18)=0,NA(),IF(Funds!$J$10="no",BK18,BP18))</f>
        <v>#N/A</v>
      </c>
      <c r="BG18" s="274">
        <f ca="1">Funds!$R$34</f>
        <v>2.5919346055080732</v>
      </c>
      <c r="BH18" s="274">
        <f ca="1">Funds!$R$36</f>
        <v>1.3378677483181089E-2</v>
      </c>
      <c r="BI18" s="274">
        <f ca="1">Funds!$R$38</f>
        <v>-0.15972963753204919</v>
      </c>
      <c r="BJ18" s="274">
        <f ca="1">Funds!$R$40</f>
        <v>-0.16887551350866659</v>
      </c>
      <c r="BK18" s="274">
        <f ca="1">Funds!$R$42</f>
        <v>-1.9222891726906419</v>
      </c>
      <c r="BL18" s="154"/>
      <c r="BM18" s="153"/>
      <c r="BN18" s="154"/>
      <c r="BO18" s="153"/>
      <c r="BP18" s="154"/>
      <c r="BQ18" s="153"/>
      <c r="BR18" s="154" t="s">
        <v>46</v>
      </c>
      <c r="BS18" s="158">
        <v>-0.23008120000000001</v>
      </c>
      <c r="BT18" s="154"/>
      <c r="BU18" s="154"/>
      <c r="BV18" s="153"/>
      <c r="BW18" s="153"/>
      <c r="BX18" s="154"/>
      <c r="BY18" s="153"/>
      <c r="BZ18" s="154"/>
      <c r="CA18" s="154"/>
      <c r="CB18" s="154"/>
      <c r="CC18" s="153"/>
      <c r="CD18" s="153"/>
      <c r="CE18" s="154"/>
      <c r="CF18" s="153"/>
      <c r="CG18" s="217"/>
      <c r="CH18" s="154" t="s">
        <v>46</v>
      </c>
      <c r="CI18" s="158">
        <v>-0.48613679999999998</v>
      </c>
      <c r="CJ18" s="153" t="str">
        <f t="shared" si="16"/>
        <v>Czech Republic</v>
      </c>
      <c r="CK18" s="153" t="s">
        <v>46</v>
      </c>
      <c r="CL18" s="158">
        <v>-0.37537599999999999</v>
      </c>
      <c r="CM18" s="153" t="str">
        <f t="shared" si="17"/>
        <v>Czech Republic</v>
      </c>
      <c r="CN18" s="156"/>
      <c r="CO18" s="209" t="s">
        <v>50</v>
      </c>
      <c r="CP18" s="159">
        <v>0.16647880000000001</v>
      </c>
      <c r="CQ18" s="211"/>
      <c r="CR18" s="212" t="s">
        <v>50</v>
      </c>
      <c r="CS18" s="160">
        <v>0.17245830000000001</v>
      </c>
      <c r="CT18" s="156"/>
    </row>
    <row r="19" spans="1:98">
      <c r="F19" s="421">
        <v>40724</v>
      </c>
      <c r="G19" s="272">
        <f>BMG!F19</f>
        <v>-4.0318000000000003E-3</v>
      </c>
      <c r="H19" s="272"/>
      <c r="I19" s="272"/>
      <c r="J19" s="272"/>
      <c r="K19" s="272"/>
      <c r="L19" s="272"/>
      <c r="M19" s="272"/>
      <c r="N19" s="272">
        <f t="shared" si="15"/>
        <v>2.9455292432536195E-2</v>
      </c>
      <c r="O19" s="272"/>
      <c r="P19" s="421">
        <v>40724</v>
      </c>
      <c r="Q19" s="154">
        <f>HLOOKUP(Q$1,'Asset Returns'!$F$1:$N$109,ROW(),0)</f>
        <v>-8.5349157452583313E-2</v>
      </c>
      <c r="R19" s="154">
        <f>HLOOKUP(R$1,'Asset Returns'!$F$1:$N$109,ROW(),0)</f>
        <v>-2.3644760251045227E-2</v>
      </c>
      <c r="S19" s="154">
        <f>HLOOKUP(S$1,'Asset Returns'!$F$1:$N$109,ROW(),0)</f>
        <v>-4.4812750071287155E-2</v>
      </c>
      <c r="T19" s="154">
        <f>HLOOKUP(T$1,'Asset Returns'!$F$1:$N$109,ROW(),0)</f>
        <v>1.5509380027651787E-2</v>
      </c>
      <c r="U19" s="154">
        <f>HLOOKUP(U$1,'Asset Returns'!$F$1:$N$109,ROW(),0)</f>
        <v>-9.1827891767024994E-2</v>
      </c>
      <c r="V19" s="273" t="e">
        <f>IF(IF(Equity!$J$10="no",AA19,AF19)=0,NA(),IF(Equity!$J$10="no",AA19,AF19))</f>
        <v>#N/A</v>
      </c>
      <c r="W19" s="273" t="e">
        <f>IF(IF(Equity!$J$10="no",AB19,AG19)=0,NA(),IF(Equity!$J$10="no",AB19,AG19))</f>
        <v>#N/A</v>
      </c>
      <c r="X19" s="273" t="e">
        <f>IF(IF(Equity!$J$10="no",AC19,AH19)=0,NA(),IF(Equity!$J$10="no",AC19,AH19))</f>
        <v>#N/A</v>
      </c>
      <c r="Y19" s="273" t="e">
        <f>IF(IF(Equity!$J$10="no",AD19,AI19)=0,NA(),IF(Equity!$J$10="no",AD19,AI19))</f>
        <v>#N/A</v>
      </c>
      <c r="Z19" s="273" t="e">
        <f>IF(IF(Equity!$J$10="no",AE19,AJ19)=0,NA(),IF(Equity!$J$10="no",AE19,AJ19))</f>
        <v>#N/A</v>
      </c>
      <c r="AA19" s="274">
        <f ca="1">Equity!$R$34</f>
        <v>0.64097224418739052</v>
      </c>
      <c r="AB19" s="274">
        <f ca="1">Equity!$R$36</f>
        <v>-0.78557102570241866</v>
      </c>
      <c r="AC19" s="274">
        <f ca="1">Equity!$R$38</f>
        <v>0.9378377404978776</v>
      </c>
      <c r="AD19" s="274">
        <f ca="1">Equity!$R$40</f>
        <v>0.17519882647973573</v>
      </c>
      <c r="AE19" s="274">
        <f ca="1">Equity!$R$42</f>
        <v>7.3760094442444454E-2</v>
      </c>
      <c r="AF19" s="154"/>
      <c r="AH19" s="154"/>
      <c r="AJ19" s="154"/>
      <c r="AK19" s="154"/>
      <c r="AL19" s="421">
        <v>40724</v>
      </c>
      <c r="AM19" s="154">
        <f>HLOOKUP(AM$1,'Asset Returns'!$F$1:$ZS$109,ROW(),0)</f>
        <v>-2.0195282826598437E-2</v>
      </c>
      <c r="AN19" s="154">
        <f>HLOOKUP(AN$1,'Asset Returns'!$F$1:$ZS$109,ROW(),0)</f>
        <v>-4.2350347367337116E-2</v>
      </c>
      <c r="AO19" s="273">
        <f ca="1">IF(IF(Bonds!$J$10="no",AQ19,AS19)=0,NA(),IF(Bonds!$J$10="no",AQ19,AS19))</f>
        <v>-0.12498736259259137</v>
      </c>
      <c r="AP19" s="273">
        <f ca="1">IF(IF(Bonds!$J$10="no",AR19,AT19)=0,NA(),IF(Bonds!$J$10="no",AR19,AT19))</f>
        <v>0.19970923689173462</v>
      </c>
      <c r="AQ19" s="273">
        <f ca="1">Bonds!$P$32</f>
        <v>-0.12498736259259137</v>
      </c>
      <c r="AR19" s="273">
        <f ca="1">Bonds!$P$34</f>
        <v>0.19970923689173462</v>
      </c>
      <c r="AS19" s="154"/>
      <c r="AU19" s="154"/>
      <c r="AV19" s="421">
        <v>40724</v>
      </c>
      <c r="AW19" s="154">
        <f>HLOOKUP(AW$1,'Asset Returns'!$F$1:$ZS$109,ROW(),0)</f>
        <v>-9.5544600000000007E-2</v>
      </c>
      <c r="AX19" s="154">
        <f>HLOOKUP(AX$1,'Asset Returns'!$F$1:$ZS$109,ROW(),0)</f>
        <v>-1.55715E-2</v>
      </c>
      <c r="AY19" s="154">
        <f>HLOOKUP(AY$1,'Asset Returns'!$F$1:$ZS$109,ROW(),0)</f>
        <v>-1.349654E-2</v>
      </c>
      <c r="AZ19" s="154">
        <f>HLOOKUP(AZ$1,'Asset Returns'!$F$1:$ZS$109,ROW(),0)</f>
        <v>-2.0874700000000003E-2</v>
      </c>
      <c r="BA19" s="154">
        <f>HLOOKUP(BA$1,'Asset Returns'!$F$1:$ZS$109,ROW(),0)</f>
        <v>1.99131E-2</v>
      </c>
      <c r="BB19" s="273" t="e">
        <f>IF(IF(Funds!$J$10="no",BG19,BL19)=0,NA(),IF(Funds!$J$10="no",BG19,BL19))</f>
        <v>#N/A</v>
      </c>
      <c r="BC19" s="273" t="e">
        <f>IF(IF(Funds!$J$10="no",BH19,BM19)=0,NA(),IF(Funds!$J$10="no",BH19,BM19))</f>
        <v>#N/A</v>
      </c>
      <c r="BD19" s="273" t="e">
        <f>IF(IF(Funds!$J$10="no",BI19,BN19)=0,NA(),IF(Funds!$J$10="no",BI19,BN19))</f>
        <v>#N/A</v>
      </c>
      <c r="BE19" s="273" t="e">
        <f>IF(IF(Funds!$J$10="no",BJ19,BO19)=0,NA(),IF(Funds!$J$10="no",BJ19,BO19))</f>
        <v>#N/A</v>
      </c>
      <c r="BF19" s="273" t="e">
        <f>IF(IF(Funds!$J$10="no",BK19,BP19)=0,NA(),IF(Funds!$J$10="no",BK19,BP19))</f>
        <v>#N/A</v>
      </c>
      <c r="BG19" s="274">
        <f ca="1">Funds!$R$34</f>
        <v>2.5919346055080732</v>
      </c>
      <c r="BH19" s="274">
        <f ca="1">Funds!$R$36</f>
        <v>1.3378677483181089E-2</v>
      </c>
      <c r="BI19" s="274">
        <f ca="1">Funds!$R$38</f>
        <v>-0.15972963753204919</v>
      </c>
      <c r="BJ19" s="274">
        <f ca="1">Funds!$R$40</f>
        <v>-0.16887551350866659</v>
      </c>
      <c r="BK19" s="274">
        <f ca="1">Funds!$R$42</f>
        <v>-1.9222891726906419</v>
      </c>
      <c r="BL19" s="154"/>
      <c r="BN19" s="154"/>
      <c r="BP19" s="154"/>
      <c r="BR19" s="154" t="s">
        <v>47</v>
      </c>
      <c r="BS19" s="158">
        <v>-0.42575590000000002</v>
      </c>
      <c r="BT19" s="154"/>
      <c r="BU19" s="154"/>
      <c r="BX19" s="154"/>
      <c r="BZ19" s="154"/>
      <c r="CA19" s="154"/>
      <c r="CB19" s="154"/>
      <c r="CE19" s="154"/>
      <c r="CG19" s="218"/>
      <c r="CH19" s="155" t="s">
        <v>41</v>
      </c>
      <c r="CI19" s="158">
        <v>-0.28542420000000002</v>
      </c>
      <c r="CJ19" s="153" t="str">
        <f t="shared" si="16"/>
        <v>Ivory Coast</v>
      </c>
      <c r="CK19" s="155" t="s">
        <v>41</v>
      </c>
      <c r="CL19" s="158">
        <v>-0.28542420000000002</v>
      </c>
      <c r="CM19" s="153" t="str">
        <f t="shared" si="17"/>
        <v>Ivory Coast</v>
      </c>
      <c r="CN19" s="154"/>
      <c r="CO19" s="209" t="s">
        <v>49</v>
      </c>
      <c r="CP19" s="159">
        <v>-0.53771329999999995</v>
      </c>
      <c r="CQ19" s="211"/>
      <c r="CR19" s="212" t="s">
        <v>49</v>
      </c>
      <c r="CS19" s="160">
        <v>-0.53771329999999995</v>
      </c>
      <c r="CT19" s="154"/>
    </row>
    <row r="20" spans="1:98">
      <c r="F20" s="421">
        <v>40755</v>
      </c>
      <c r="G20" s="272">
        <f>BMG!F20</f>
        <v>2.90342E-2</v>
      </c>
      <c r="H20" s="272"/>
      <c r="I20" s="272"/>
      <c r="J20" s="272"/>
      <c r="K20" s="272"/>
      <c r="L20" s="272"/>
      <c r="M20" s="272"/>
      <c r="N20" s="272">
        <f t="shared" si="15"/>
        <v>5.9344703284080813E-2</v>
      </c>
      <c r="O20" s="272"/>
      <c r="P20" s="421">
        <v>40755</v>
      </c>
      <c r="Q20" s="154">
        <f>HLOOKUP(Q$1,'Asset Returns'!$F$1:$N$109,ROW(),0)</f>
        <v>-1.5700085088610649E-2</v>
      </c>
      <c r="R20" s="154">
        <f>HLOOKUP(R$1,'Asset Returns'!$F$1:$N$109,ROW(),0)</f>
        <v>2.8350591310299933E-4</v>
      </c>
      <c r="S20" s="154">
        <f>HLOOKUP(S$1,'Asset Returns'!$F$1:$N$109,ROW(),0)</f>
        <v>2.7694474905729294E-2</v>
      </c>
      <c r="T20" s="154">
        <f>HLOOKUP(T$1,'Asset Returns'!$F$1:$N$109,ROW(),0)</f>
        <v>6.0040801763534546E-2</v>
      </c>
      <c r="U20" s="154">
        <f>HLOOKUP(U$1,'Asset Returns'!$F$1:$N$109,ROW(),0)</f>
        <v>-0.11891891807317734</v>
      </c>
      <c r="V20" s="273" t="e">
        <f>IF(IF(Equity!$J$10="no",AA20,AF20)=0,NA(),IF(Equity!$J$10="no",AA20,AF20))</f>
        <v>#N/A</v>
      </c>
      <c r="W20" s="273" t="e">
        <f>IF(IF(Equity!$J$10="no",AB20,AG20)=0,NA(),IF(Equity!$J$10="no",AB20,AG20))</f>
        <v>#N/A</v>
      </c>
      <c r="X20" s="273" t="e">
        <f>IF(IF(Equity!$J$10="no",AC20,AH20)=0,NA(),IF(Equity!$J$10="no",AC20,AH20))</f>
        <v>#N/A</v>
      </c>
      <c r="Y20" s="273" t="e">
        <f>IF(IF(Equity!$J$10="no",AD20,AI20)=0,NA(),IF(Equity!$J$10="no",AD20,AI20))</f>
        <v>#N/A</v>
      </c>
      <c r="Z20" s="273" t="e">
        <f>IF(IF(Equity!$J$10="no",AE20,AJ20)=0,NA(),IF(Equity!$J$10="no",AE20,AJ20))</f>
        <v>#N/A</v>
      </c>
      <c r="AA20" s="274">
        <f ca="1">Equity!$R$34</f>
        <v>0.64097224418739052</v>
      </c>
      <c r="AB20" s="274">
        <f ca="1">Equity!$R$36</f>
        <v>-0.78557102570241866</v>
      </c>
      <c r="AC20" s="274">
        <f ca="1">Equity!$R$38</f>
        <v>0.9378377404978776</v>
      </c>
      <c r="AD20" s="274">
        <f ca="1">Equity!$R$40</f>
        <v>0.17519882647973573</v>
      </c>
      <c r="AE20" s="274">
        <f ca="1">Equity!$R$42</f>
        <v>7.3760094442444454E-2</v>
      </c>
      <c r="AF20" s="154"/>
      <c r="AH20" s="154"/>
      <c r="AJ20" s="154"/>
      <c r="AK20" s="154"/>
      <c r="AL20" s="421">
        <v>40755</v>
      </c>
      <c r="AM20" s="154">
        <f>HLOOKUP(AM$1,'Asset Returns'!$F$1:$ZS$109,ROW(),0)</f>
        <v>5.0956829226783684E-2</v>
      </c>
      <c r="AN20" s="154">
        <f>HLOOKUP(AN$1,'Asset Returns'!$F$1:$ZS$109,ROW(),0)</f>
        <v>3.1782274029612978E-2</v>
      </c>
      <c r="AO20" s="273">
        <f ca="1">IF(IF(Bonds!$J$10="no",AQ20,AS20)=0,NA(),IF(Bonds!$J$10="no",AQ20,AS20))</f>
        <v>-0.12498736259259137</v>
      </c>
      <c r="AP20" s="273">
        <f ca="1">IF(IF(Bonds!$J$10="no",AR20,AT20)=0,NA(),IF(Bonds!$J$10="no",AR20,AT20))</f>
        <v>0.19970923689173462</v>
      </c>
      <c r="AQ20" s="273">
        <f ca="1">Bonds!$P$32</f>
        <v>-0.12498736259259137</v>
      </c>
      <c r="AR20" s="273">
        <f ca="1">Bonds!$P$34</f>
        <v>0.19970923689173462</v>
      </c>
      <c r="AS20" s="154"/>
      <c r="AU20" s="154"/>
      <c r="AV20" s="421">
        <v>40755</v>
      </c>
      <c r="AW20" s="154">
        <f>HLOOKUP(AW$1,'Asset Returns'!$F$1:$ZS$109,ROW(),0)</f>
        <v>4.2145599999999998E-2</v>
      </c>
      <c r="AX20" s="154">
        <f>HLOOKUP(AX$1,'Asset Returns'!$F$1:$ZS$109,ROW(),0)</f>
        <v>-1.9722799999999999E-2</v>
      </c>
      <c r="AY20" s="154">
        <f>HLOOKUP(AY$1,'Asset Returns'!$F$1:$ZS$109,ROW(),0)</f>
        <v>-2.7424900000000002E-2</v>
      </c>
      <c r="AZ20" s="154">
        <f>HLOOKUP(AZ$1,'Asset Returns'!$F$1:$ZS$109,ROW(),0)</f>
        <v>-3.7820360000000004E-2</v>
      </c>
      <c r="BA20" s="154">
        <f>HLOOKUP(BA$1,'Asset Returns'!$F$1:$ZS$109,ROW(),0)</f>
        <v>-3.2658900000000005E-2</v>
      </c>
      <c r="BB20" s="273" t="e">
        <f>IF(IF(Funds!$J$10="no",BG20,BL20)=0,NA(),IF(Funds!$J$10="no",BG20,BL20))</f>
        <v>#N/A</v>
      </c>
      <c r="BC20" s="273" t="e">
        <f>IF(IF(Funds!$J$10="no",BH20,BM20)=0,NA(),IF(Funds!$J$10="no",BH20,BM20))</f>
        <v>#N/A</v>
      </c>
      <c r="BD20" s="273" t="e">
        <f>IF(IF(Funds!$J$10="no",BI20,BN20)=0,NA(),IF(Funds!$J$10="no",BI20,BN20))</f>
        <v>#N/A</v>
      </c>
      <c r="BE20" s="273" t="e">
        <f>IF(IF(Funds!$J$10="no",BJ20,BO20)=0,NA(),IF(Funds!$J$10="no",BJ20,BO20))</f>
        <v>#N/A</v>
      </c>
      <c r="BF20" s="273" t="e">
        <f>IF(IF(Funds!$J$10="no",BK20,BP20)=0,NA(),IF(Funds!$J$10="no",BK20,BP20))</f>
        <v>#N/A</v>
      </c>
      <c r="BG20" s="274">
        <f ca="1">Funds!$R$34</f>
        <v>2.5919346055080732</v>
      </c>
      <c r="BH20" s="274">
        <f ca="1">Funds!$R$36</f>
        <v>1.3378677483181089E-2</v>
      </c>
      <c r="BI20" s="274">
        <f ca="1">Funds!$R$38</f>
        <v>-0.15972963753204919</v>
      </c>
      <c r="BJ20" s="274">
        <f ca="1">Funds!$R$40</f>
        <v>-0.16887551350866659</v>
      </c>
      <c r="BK20" s="274">
        <f ca="1">Funds!$R$42</f>
        <v>-1.9222891726906419</v>
      </c>
      <c r="BL20" s="154"/>
      <c r="BN20" s="154"/>
      <c r="BP20" s="154"/>
      <c r="BR20" s="154" t="s">
        <v>48</v>
      </c>
      <c r="BS20" s="158">
        <v>-0.40958410000000001</v>
      </c>
      <c r="BT20" s="154"/>
      <c r="BU20" s="154"/>
      <c r="BX20" s="154"/>
      <c r="BZ20" s="154"/>
      <c r="CA20" s="154"/>
      <c r="CB20" s="154"/>
      <c r="CE20" s="154"/>
      <c r="CG20" s="218"/>
      <c r="CH20" s="154" t="s">
        <v>48</v>
      </c>
      <c r="CI20" s="158">
        <v>-0.40754259999999998</v>
      </c>
      <c r="CJ20" s="153" t="str">
        <f t="shared" si="16"/>
        <v>Denmark</v>
      </c>
      <c r="CK20" s="153" t="s">
        <v>48</v>
      </c>
      <c r="CL20" s="158">
        <v>-0.40008959999999999</v>
      </c>
      <c r="CM20" s="153" t="str">
        <f t="shared" si="17"/>
        <v>Denmark</v>
      </c>
      <c r="CN20" s="154"/>
      <c r="CO20" s="209" t="s">
        <v>52</v>
      </c>
      <c r="CP20" s="157">
        <v>-0.48893969999999998</v>
      </c>
      <c r="CQ20" s="210"/>
      <c r="CR20" s="209" t="s">
        <v>52</v>
      </c>
      <c r="CS20" s="158">
        <v>-0.44479039999999997</v>
      </c>
      <c r="CT20" s="154"/>
    </row>
    <row r="21" spans="1:98">
      <c r="F21" s="421">
        <v>40786</v>
      </c>
      <c r="G21" s="272">
        <f>BMG!F21</f>
        <v>7.5288999999999998E-3</v>
      </c>
      <c r="H21" s="272"/>
      <c r="I21" s="272"/>
      <c r="J21" s="272"/>
      <c r="K21" s="272"/>
      <c r="L21" s="272"/>
      <c r="M21" s="272"/>
      <c r="N21" s="272">
        <f t="shared" si="15"/>
        <v>6.7320403620636293E-2</v>
      </c>
      <c r="O21" s="272"/>
      <c r="P21" s="421">
        <v>40786</v>
      </c>
      <c r="Q21" s="154">
        <f>HLOOKUP(Q$1,'Asset Returns'!$F$1:$N$109,ROW(),0)</f>
        <v>-0.24878916144371033</v>
      </c>
      <c r="R21" s="154">
        <f>HLOOKUP(R$1,'Asset Returns'!$F$1:$N$109,ROW(),0)</f>
        <v>-0.12538155913352966</v>
      </c>
      <c r="S21" s="154">
        <f>HLOOKUP(S$1,'Asset Returns'!$F$1:$N$109,ROW(),0)</f>
        <v>-0.12552544474601746</v>
      </c>
      <c r="T21" s="154">
        <f>HLOOKUP(T$1,'Asset Returns'!$F$1:$N$109,ROW(),0)</f>
        <v>-5.0494972616434097E-2</v>
      </c>
      <c r="U21" s="154">
        <f>HLOOKUP(U$1,'Asset Returns'!$F$1:$N$109,ROW(),0)</f>
        <v>-8.9237496256828308E-2</v>
      </c>
      <c r="V21" s="273" t="e">
        <f>IF(IF(Equity!$J$10="no",AA21,AF21)=0,NA(),IF(Equity!$J$10="no",AA21,AF21))</f>
        <v>#N/A</v>
      </c>
      <c r="W21" s="273" t="e">
        <f>IF(IF(Equity!$J$10="no",AB21,AG21)=0,NA(),IF(Equity!$J$10="no",AB21,AG21))</f>
        <v>#N/A</v>
      </c>
      <c r="X21" s="273" t="e">
        <f>IF(IF(Equity!$J$10="no",AC21,AH21)=0,NA(),IF(Equity!$J$10="no",AC21,AH21))</f>
        <v>#N/A</v>
      </c>
      <c r="Y21" s="273" t="e">
        <f>IF(IF(Equity!$J$10="no",AD21,AI21)=0,NA(),IF(Equity!$J$10="no",AD21,AI21))</f>
        <v>#N/A</v>
      </c>
      <c r="Z21" s="273" t="e">
        <f>IF(IF(Equity!$J$10="no",AE21,AJ21)=0,NA(),IF(Equity!$J$10="no",AE21,AJ21))</f>
        <v>#N/A</v>
      </c>
      <c r="AA21" s="274">
        <f ca="1">Equity!$R$34</f>
        <v>0.64097224418739052</v>
      </c>
      <c r="AB21" s="274">
        <f ca="1">Equity!$R$36</f>
        <v>-0.78557102570241866</v>
      </c>
      <c r="AC21" s="274">
        <f ca="1">Equity!$R$38</f>
        <v>0.9378377404978776</v>
      </c>
      <c r="AD21" s="274">
        <f ca="1">Equity!$R$40</f>
        <v>0.17519882647973573</v>
      </c>
      <c r="AE21" s="274">
        <f ca="1">Equity!$R$42</f>
        <v>7.3760094442444454E-2</v>
      </c>
      <c r="AF21" s="154"/>
      <c r="AH21" s="154"/>
      <c r="AJ21" s="154"/>
      <c r="AK21" s="154"/>
      <c r="AL21" s="421">
        <v>40786</v>
      </c>
      <c r="AM21" s="154">
        <f>HLOOKUP(AM$1,'Asset Returns'!$F$1:$ZS$109,ROW(),0)</f>
        <v>6.9861590294677312E-2</v>
      </c>
      <c r="AN21" s="154">
        <f>HLOOKUP(AN$1,'Asset Returns'!$F$1:$ZS$109,ROW(),0)</f>
        <v>6.9005467964593059E-2</v>
      </c>
      <c r="AO21" s="273">
        <f ca="1">IF(IF(Bonds!$J$10="no",AQ21,AS21)=0,NA(),IF(Bonds!$J$10="no",AQ21,AS21))</f>
        <v>-0.12498736259259137</v>
      </c>
      <c r="AP21" s="273">
        <f ca="1">IF(IF(Bonds!$J$10="no",AR21,AT21)=0,NA(),IF(Bonds!$J$10="no",AR21,AT21))</f>
        <v>0.19970923689173462</v>
      </c>
      <c r="AQ21" s="273">
        <f ca="1">Bonds!$P$32</f>
        <v>-0.12498736259259137</v>
      </c>
      <c r="AR21" s="273">
        <f ca="1">Bonds!$P$34</f>
        <v>0.19970923689173462</v>
      </c>
      <c r="AS21" s="154"/>
      <c r="AU21" s="154"/>
      <c r="AV21" s="421">
        <v>40786</v>
      </c>
      <c r="AW21" s="154">
        <f>HLOOKUP(AW$1,'Asset Returns'!$F$1:$ZS$109,ROW(),0)</f>
        <v>-1.10294E-2</v>
      </c>
      <c r="AX21" s="154">
        <f>HLOOKUP(AX$1,'Asset Returns'!$F$1:$ZS$109,ROW(),0)</f>
        <v>-7.2060600000000002E-2</v>
      </c>
      <c r="AY21" s="154">
        <f>HLOOKUP(AY$1,'Asset Returns'!$F$1:$ZS$109,ROW(),0)</f>
        <v>-0.14414146999999999</v>
      </c>
      <c r="AZ21" s="154">
        <f>HLOOKUP(AZ$1,'Asset Returns'!$F$1:$ZS$109,ROW(),0)</f>
        <v>-9.0375159999999996E-2</v>
      </c>
      <c r="BA21" s="154">
        <f>HLOOKUP(BA$1,'Asset Returns'!$F$1:$ZS$109,ROW(),0)</f>
        <v>0.13614680000000001</v>
      </c>
      <c r="BB21" s="273" t="e">
        <f>IF(IF(Funds!$J$10="no",BG21,BL21)=0,NA(),IF(Funds!$J$10="no",BG21,BL21))</f>
        <v>#N/A</v>
      </c>
      <c r="BC21" s="273" t="e">
        <f>IF(IF(Funds!$J$10="no",BH21,BM21)=0,NA(),IF(Funds!$J$10="no",BH21,BM21))</f>
        <v>#N/A</v>
      </c>
      <c r="BD21" s="273" t="e">
        <f>IF(IF(Funds!$J$10="no",BI21,BN21)=0,NA(),IF(Funds!$J$10="no",BI21,BN21))</f>
        <v>#N/A</v>
      </c>
      <c r="BE21" s="273" t="e">
        <f>IF(IF(Funds!$J$10="no",BJ21,BO21)=0,NA(),IF(Funds!$J$10="no",BJ21,BO21))</f>
        <v>#N/A</v>
      </c>
      <c r="BF21" s="273" t="e">
        <f>IF(IF(Funds!$J$10="no",BK21,BP21)=0,NA(),IF(Funds!$J$10="no",BK21,BP21))</f>
        <v>#N/A</v>
      </c>
      <c r="BG21" s="274">
        <f ca="1">Funds!$R$34</f>
        <v>2.5919346055080732</v>
      </c>
      <c r="BH21" s="274">
        <f ca="1">Funds!$R$36</f>
        <v>1.3378677483181089E-2</v>
      </c>
      <c r="BI21" s="274">
        <f ca="1">Funds!$R$38</f>
        <v>-0.15972963753204919</v>
      </c>
      <c r="BJ21" s="274">
        <f ca="1">Funds!$R$40</f>
        <v>-0.16887551350866659</v>
      </c>
      <c r="BK21" s="274">
        <f ca="1">Funds!$R$42</f>
        <v>-1.9222891726906419</v>
      </c>
      <c r="BL21" s="154"/>
      <c r="BN21" s="154"/>
      <c r="BP21" s="154"/>
      <c r="BR21" s="154" t="s">
        <v>49</v>
      </c>
      <c r="BS21" s="158">
        <v>-0.45887420000000001</v>
      </c>
      <c r="BT21" s="154"/>
      <c r="BU21" s="154"/>
      <c r="BX21" s="154"/>
      <c r="BZ21" s="154"/>
      <c r="CA21" s="154"/>
      <c r="CB21" s="154"/>
      <c r="CE21" s="154"/>
      <c r="CG21" s="218"/>
      <c r="CH21" s="154" t="s">
        <v>50</v>
      </c>
      <c r="CI21" s="158">
        <v>0.16647880000000001</v>
      </c>
      <c r="CJ21" s="153" t="str">
        <f t="shared" si="16"/>
        <v>Egypt</v>
      </c>
      <c r="CK21" s="153" t="s">
        <v>50</v>
      </c>
      <c r="CL21" s="158">
        <v>0.17245830000000001</v>
      </c>
      <c r="CM21" s="153" t="str">
        <f t="shared" si="17"/>
        <v>Egypt</v>
      </c>
      <c r="CN21" s="154"/>
      <c r="CO21" s="209" t="s">
        <v>53</v>
      </c>
      <c r="CP21" s="157">
        <v>-0.61064339999999995</v>
      </c>
      <c r="CQ21" s="210"/>
      <c r="CR21" s="209" t="s">
        <v>53</v>
      </c>
      <c r="CS21" s="158">
        <v>-0.55839059999999996</v>
      </c>
      <c r="CT21" s="154"/>
    </row>
    <row r="22" spans="1:98">
      <c r="F22" s="421">
        <v>40816</v>
      </c>
      <c r="G22" s="272">
        <f>BMG!F22</f>
        <v>-2.9084499999999999E-2</v>
      </c>
      <c r="H22" s="272"/>
      <c r="I22" s="272"/>
      <c r="J22" s="272"/>
      <c r="K22" s="272"/>
      <c r="L22" s="272"/>
      <c r="M22" s="272"/>
      <c r="N22" s="272">
        <f t="shared" si="15"/>
        <v>3.6277923341532015E-2</v>
      </c>
      <c r="O22" s="272"/>
      <c r="P22" s="421">
        <v>40816</v>
      </c>
      <c r="Q22" s="154">
        <f>HLOOKUP(Q$1,'Asset Returns'!$F$1:$N$109,ROW(),0)</f>
        <v>-1.1654149740934372E-2</v>
      </c>
      <c r="R22" s="154">
        <f>HLOOKUP(R$1,'Asset Returns'!$F$1:$N$109,ROW(),0)</f>
        <v>-1.7317973077297211E-2</v>
      </c>
      <c r="S22" s="154">
        <f>HLOOKUP(S$1,'Asset Returns'!$F$1:$N$109,ROW(),0)</f>
        <v>-7.6423346996307373E-2</v>
      </c>
      <c r="T22" s="154">
        <f>HLOOKUP(T$1,'Asset Returns'!$F$1:$N$109,ROW(),0)</f>
        <v>1.7218306660652161E-2</v>
      </c>
      <c r="U22" s="154">
        <f>HLOOKUP(U$1,'Asset Returns'!$F$1:$N$109,ROW(),0)</f>
        <v>-4.2393025010824203E-2</v>
      </c>
      <c r="V22" s="273" t="e">
        <f>IF(IF(Equity!$J$10="no",AA22,AF22)=0,NA(),IF(Equity!$J$10="no",AA22,AF22))</f>
        <v>#N/A</v>
      </c>
      <c r="W22" s="273" t="e">
        <f>IF(IF(Equity!$J$10="no",AB22,AG22)=0,NA(),IF(Equity!$J$10="no",AB22,AG22))</f>
        <v>#N/A</v>
      </c>
      <c r="X22" s="273" t="e">
        <f>IF(IF(Equity!$J$10="no",AC22,AH22)=0,NA(),IF(Equity!$J$10="no",AC22,AH22))</f>
        <v>#N/A</v>
      </c>
      <c r="Y22" s="273" t="e">
        <f>IF(IF(Equity!$J$10="no",AD22,AI22)=0,NA(),IF(Equity!$J$10="no",AD22,AI22))</f>
        <v>#N/A</v>
      </c>
      <c r="Z22" s="273" t="e">
        <f>IF(IF(Equity!$J$10="no",AE22,AJ22)=0,NA(),IF(Equity!$J$10="no",AE22,AJ22))</f>
        <v>#N/A</v>
      </c>
      <c r="AA22" s="274">
        <f ca="1">Equity!$R$34</f>
        <v>0.64097224418739052</v>
      </c>
      <c r="AB22" s="274">
        <f ca="1">Equity!$R$36</f>
        <v>-0.78557102570241866</v>
      </c>
      <c r="AC22" s="274">
        <f ca="1">Equity!$R$38</f>
        <v>0.9378377404978776</v>
      </c>
      <c r="AD22" s="274">
        <f ca="1">Equity!$R$40</f>
        <v>0.17519882647973573</v>
      </c>
      <c r="AE22" s="274">
        <f ca="1">Equity!$R$42</f>
        <v>7.3760094442444454E-2</v>
      </c>
      <c r="AF22" s="154"/>
      <c r="AH22" s="154"/>
      <c r="AJ22" s="154"/>
      <c r="AK22" s="154"/>
      <c r="AL22" s="421">
        <v>40816</v>
      </c>
      <c r="AM22" s="154">
        <f>HLOOKUP(AM$1,'Asset Returns'!$F$1:$ZS$109,ROW(),0)</f>
        <v>2.9300964505848404E-2</v>
      </c>
      <c r="AN22" s="154">
        <f>HLOOKUP(AN$1,'Asset Returns'!$F$1:$ZS$109,ROW(),0)</f>
        <v>1.9743217748825703E-2</v>
      </c>
      <c r="AO22" s="273">
        <f ca="1">IF(IF(Bonds!$J$10="no",AQ22,AS22)=0,NA(),IF(Bonds!$J$10="no",AQ22,AS22))</f>
        <v>-0.12498736259259137</v>
      </c>
      <c r="AP22" s="273">
        <f ca="1">IF(IF(Bonds!$J$10="no",AR22,AT22)=0,NA(),IF(Bonds!$J$10="no",AR22,AT22))</f>
        <v>0.19970923689173462</v>
      </c>
      <c r="AQ22" s="273">
        <f ca="1">Bonds!$P$32</f>
        <v>-0.12498736259259137</v>
      </c>
      <c r="AR22" s="273">
        <f ca="1">Bonds!$P$34</f>
        <v>0.19970923689173462</v>
      </c>
      <c r="AS22" s="154"/>
      <c r="AU22" s="154"/>
      <c r="AV22" s="421">
        <v>40816</v>
      </c>
      <c r="AW22" s="154">
        <f>HLOOKUP(AW$1,'Asset Returns'!$F$1:$ZS$109,ROW(),0)</f>
        <v>-0.16569299999999998</v>
      </c>
      <c r="AX22" s="154">
        <f>HLOOKUP(AX$1,'Asset Returns'!$F$1:$ZS$109,ROW(),0)</f>
        <v>-8.5938500000000001E-2</v>
      </c>
      <c r="AY22" s="154">
        <f>HLOOKUP(AY$1,'Asset Returns'!$F$1:$ZS$109,ROW(),0)</f>
        <v>-8.0367149999999998E-2</v>
      </c>
      <c r="AZ22" s="154">
        <f>HLOOKUP(AZ$1,'Asset Returns'!$F$1:$ZS$109,ROW(),0)</f>
        <v>-9.4264749999999994E-2</v>
      </c>
      <c r="BA22" s="154">
        <f>HLOOKUP(BA$1,'Asset Returns'!$F$1:$ZS$109,ROW(),0)</f>
        <v>0.27583980000000002</v>
      </c>
      <c r="BB22" s="273" t="e">
        <f>IF(IF(Funds!$J$10="no",BG22,BL22)=0,NA(),IF(Funds!$J$10="no",BG22,BL22))</f>
        <v>#N/A</v>
      </c>
      <c r="BC22" s="273" t="e">
        <f>IF(IF(Funds!$J$10="no",BH22,BM22)=0,NA(),IF(Funds!$J$10="no",BH22,BM22))</f>
        <v>#N/A</v>
      </c>
      <c r="BD22" s="273" t="e">
        <f>IF(IF(Funds!$J$10="no",BI22,BN22)=0,NA(),IF(Funds!$J$10="no",BI22,BN22))</f>
        <v>#N/A</v>
      </c>
      <c r="BE22" s="273" t="e">
        <f>IF(IF(Funds!$J$10="no",BJ22,BO22)=0,NA(),IF(Funds!$J$10="no",BJ22,BO22))</f>
        <v>#N/A</v>
      </c>
      <c r="BF22" s="273" t="e">
        <f>IF(IF(Funds!$J$10="no",BK22,BP22)=0,NA(),IF(Funds!$J$10="no",BK22,BP22))</f>
        <v>#N/A</v>
      </c>
      <c r="BG22" s="274">
        <f ca="1">Funds!$R$34</f>
        <v>2.5919346055080732</v>
      </c>
      <c r="BH22" s="274">
        <f ca="1">Funds!$R$36</f>
        <v>1.3378677483181089E-2</v>
      </c>
      <c r="BI22" s="274">
        <f ca="1">Funds!$R$38</f>
        <v>-0.15972963753204919</v>
      </c>
      <c r="BJ22" s="274">
        <f ca="1">Funds!$R$40</f>
        <v>-0.16887551350866659</v>
      </c>
      <c r="BK22" s="274">
        <f ca="1">Funds!$R$42</f>
        <v>-1.9222891726906419</v>
      </c>
      <c r="BL22" s="154"/>
      <c r="BN22" s="154"/>
      <c r="BP22" s="154"/>
      <c r="BR22" s="154" t="s">
        <v>50</v>
      </c>
      <c r="BS22" s="158">
        <v>0.14796049999999999</v>
      </c>
      <c r="BT22" s="154"/>
      <c r="BU22" s="154"/>
      <c r="BX22" s="154"/>
      <c r="BZ22" s="154"/>
      <c r="CA22" s="154"/>
      <c r="CB22" s="154"/>
      <c r="CE22" s="154"/>
      <c r="CG22" s="218"/>
      <c r="CH22" s="154" t="s">
        <v>49</v>
      </c>
      <c r="CI22" s="158">
        <v>-0.53771329999999995</v>
      </c>
      <c r="CJ22" s="153" t="str">
        <f t="shared" si="16"/>
        <v>Estonia</v>
      </c>
      <c r="CK22" s="153" t="s">
        <v>49</v>
      </c>
      <c r="CL22" s="158">
        <v>-0.53771329999999995</v>
      </c>
      <c r="CM22" s="153" t="str">
        <f t="shared" si="17"/>
        <v>Estonia</v>
      </c>
      <c r="CN22" s="154"/>
      <c r="CO22" s="209" t="s">
        <v>47</v>
      </c>
      <c r="CP22" s="157">
        <v>-0.53682859999999999</v>
      </c>
      <c r="CQ22" s="210"/>
      <c r="CR22" s="209" t="s">
        <v>47</v>
      </c>
      <c r="CS22" s="158">
        <v>-0.40710259999999998</v>
      </c>
      <c r="CT22" s="154"/>
    </row>
    <row r="23" spans="1:98">
      <c r="F23" s="421">
        <v>40847</v>
      </c>
      <c r="G23" s="272">
        <f>BMG!F23</f>
        <v>3.7878700000000001E-2</v>
      </c>
      <c r="H23" s="272"/>
      <c r="I23" s="272"/>
      <c r="J23" s="272"/>
      <c r="K23" s="272"/>
      <c r="L23" s="272"/>
      <c r="M23" s="272"/>
      <c r="N23" s="272">
        <f t="shared" si="15"/>
        <v>7.5530783916408994E-2</v>
      </c>
      <c r="O23" s="272"/>
      <c r="P23" s="421">
        <v>40847</v>
      </c>
      <c r="Q23" s="154">
        <f>HLOOKUP(Q$1,'Asset Returns'!$F$1:$N$109,ROW(),0)</f>
        <v>0.27902090549468994</v>
      </c>
      <c r="R23" s="154">
        <f>HLOOKUP(R$1,'Asset Returns'!$F$1:$N$109,ROW(),0)</f>
        <v>-2.7662565931677818E-2</v>
      </c>
      <c r="S23" s="154">
        <f>HLOOKUP(S$1,'Asset Returns'!$F$1:$N$109,ROW(),0)</f>
        <v>0.22949913144111633</v>
      </c>
      <c r="T23" s="154">
        <f>HLOOKUP(T$1,'Asset Returns'!$F$1:$N$109,ROW(),0)</f>
        <v>5.5812887847423553E-2</v>
      </c>
      <c r="U23" s="154">
        <f>HLOOKUP(U$1,'Asset Returns'!$F$1:$N$109,ROW(),0)</f>
        <v>0.21679767966270447</v>
      </c>
      <c r="V23" s="273" t="e">
        <f>IF(IF(Equity!$J$10="no",AA23,AF23)=0,NA(),IF(Equity!$J$10="no",AA23,AF23))</f>
        <v>#N/A</v>
      </c>
      <c r="W23" s="273" t="e">
        <f>IF(IF(Equity!$J$10="no",AB23,AG23)=0,NA(),IF(Equity!$J$10="no",AB23,AG23))</f>
        <v>#N/A</v>
      </c>
      <c r="X23" s="273" t="e">
        <f>IF(IF(Equity!$J$10="no",AC23,AH23)=0,NA(),IF(Equity!$J$10="no",AC23,AH23))</f>
        <v>#N/A</v>
      </c>
      <c r="Y23" s="273" t="e">
        <f>IF(IF(Equity!$J$10="no",AD23,AI23)=0,NA(),IF(Equity!$J$10="no",AD23,AI23))</f>
        <v>#N/A</v>
      </c>
      <c r="Z23" s="273" t="e">
        <f>IF(IF(Equity!$J$10="no",AE23,AJ23)=0,NA(),IF(Equity!$J$10="no",AE23,AJ23))</f>
        <v>#N/A</v>
      </c>
      <c r="AA23" s="274">
        <f ca="1">Equity!$R$34</f>
        <v>0.64097224418739052</v>
      </c>
      <c r="AB23" s="274">
        <f ca="1">Equity!$R$36</f>
        <v>-0.78557102570241866</v>
      </c>
      <c r="AC23" s="274">
        <f ca="1">Equity!$R$38</f>
        <v>0.9378377404978776</v>
      </c>
      <c r="AD23" s="274">
        <f ca="1">Equity!$R$40</f>
        <v>0.17519882647973573</v>
      </c>
      <c r="AE23" s="274">
        <f ca="1">Equity!$R$42</f>
        <v>7.3760094442444454E-2</v>
      </c>
      <c r="AF23" s="154"/>
      <c r="AH23" s="154"/>
      <c r="AJ23" s="154"/>
      <c r="AK23" s="154"/>
      <c r="AL23" s="421">
        <v>40847</v>
      </c>
      <c r="AM23" s="154">
        <f>HLOOKUP(AM$1,'Asset Returns'!$F$1:$ZS$109,ROW(),0)</f>
        <v>-2.477012879323226E-2</v>
      </c>
      <c r="AN23" s="154">
        <f>HLOOKUP(AN$1,'Asset Returns'!$F$1:$ZS$109,ROW(),0)</f>
        <v>2.6845562103558374E-2</v>
      </c>
      <c r="AO23" s="273">
        <f ca="1">IF(IF(Bonds!$J$10="no",AQ23,AS23)=0,NA(),IF(Bonds!$J$10="no",AQ23,AS23))</f>
        <v>-0.12498736259259137</v>
      </c>
      <c r="AP23" s="273">
        <f ca="1">IF(IF(Bonds!$J$10="no",AR23,AT23)=0,NA(),IF(Bonds!$J$10="no",AR23,AT23))</f>
        <v>0.19970923689173462</v>
      </c>
      <c r="AQ23" s="273">
        <f ca="1">Bonds!$P$32</f>
        <v>-0.12498736259259137</v>
      </c>
      <c r="AR23" s="273">
        <f ca="1">Bonds!$P$34</f>
        <v>0.19970923689173462</v>
      </c>
      <c r="AS23" s="154"/>
      <c r="AU23" s="154"/>
      <c r="AV23" s="421">
        <v>40847</v>
      </c>
      <c r="AW23" s="154">
        <f>HLOOKUP(AW$1,'Asset Returns'!$F$1:$ZS$109,ROW(),0)</f>
        <v>9.7390199999999996E-2</v>
      </c>
      <c r="AX23" s="154">
        <f>HLOOKUP(AX$1,'Asset Returns'!$F$1:$ZS$109,ROW(),0)</f>
        <v>0.1042193</v>
      </c>
      <c r="AY23" s="154">
        <f>HLOOKUP(AY$1,'Asset Returns'!$F$1:$ZS$109,ROW(),0)</f>
        <v>0.13526617999999999</v>
      </c>
      <c r="AZ23" s="154">
        <f>HLOOKUP(AZ$1,'Asset Returns'!$F$1:$ZS$109,ROW(),0)</f>
        <v>0.10122566000000001</v>
      </c>
      <c r="BA23" s="154">
        <f>HLOOKUP(BA$1,'Asset Returns'!$F$1:$ZS$109,ROW(),0)</f>
        <v>-0.3040506</v>
      </c>
      <c r="BB23" s="273" t="e">
        <f>IF(IF(Funds!$J$10="no",BG23,BL23)=0,NA(),IF(Funds!$J$10="no",BG23,BL23))</f>
        <v>#N/A</v>
      </c>
      <c r="BC23" s="273" t="e">
        <f>IF(IF(Funds!$J$10="no",BH23,BM23)=0,NA(),IF(Funds!$J$10="no",BH23,BM23))</f>
        <v>#N/A</v>
      </c>
      <c r="BD23" s="273" t="e">
        <f>IF(IF(Funds!$J$10="no",BI23,BN23)=0,NA(),IF(Funds!$J$10="no",BI23,BN23))</f>
        <v>#N/A</v>
      </c>
      <c r="BE23" s="273" t="e">
        <f>IF(IF(Funds!$J$10="no",BJ23,BO23)=0,NA(),IF(Funds!$J$10="no",BJ23,BO23))</f>
        <v>#N/A</v>
      </c>
      <c r="BF23" s="273" t="e">
        <f>IF(IF(Funds!$J$10="no",BK23,BP23)=0,NA(),IF(Funds!$J$10="no",BK23,BP23))</f>
        <v>#N/A</v>
      </c>
      <c r="BG23" s="274">
        <f ca="1">Funds!$R$34</f>
        <v>2.5919346055080732</v>
      </c>
      <c r="BH23" s="274">
        <f ca="1">Funds!$R$36</f>
        <v>1.3378677483181089E-2</v>
      </c>
      <c r="BI23" s="274">
        <f ca="1">Funds!$R$38</f>
        <v>-0.15972963753204919</v>
      </c>
      <c r="BJ23" s="274">
        <f ca="1">Funds!$R$40</f>
        <v>-0.16887551350866659</v>
      </c>
      <c r="BK23" s="274">
        <f ca="1">Funds!$R$42</f>
        <v>-1.9222891726906419</v>
      </c>
      <c r="BL23" s="154"/>
      <c r="BN23" s="154"/>
      <c r="BP23" s="154"/>
      <c r="BR23" s="154" t="s">
        <v>51</v>
      </c>
      <c r="BS23" s="158">
        <v>-0.59119900000000003</v>
      </c>
      <c r="BT23" s="154"/>
      <c r="BU23" s="154"/>
      <c r="BX23" s="154"/>
      <c r="BZ23" s="154"/>
      <c r="CA23" s="154"/>
      <c r="CB23" s="154"/>
      <c r="CE23" s="154"/>
      <c r="CG23" s="218"/>
      <c r="CH23" s="154" t="s">
        <v>52</v>
      </c>
      <c r="CI23" s="158">
        <v>-0.48893969999999998</v>
      </c>
      <c r="CJ23" s="153" t="str">
        <f t="shared" si="16"/>
        <v>Finland</v>
      </c>
      <c r="CK23" s="153" t="s">
        <v>52</v>
      </c>
      <c r="CL23" s="158">
        <v>-0.44479039999999997</v>
      </c>
      <c r="CM23" s="153" t="str">
        <f t="shared" si="17"/>
        <v>Finland</v>
      </c>
      <c r="CN23" s="154"/>
      <c r="CO23" s="209" t="s">
        <v>55</v>
      </c>
      <c r="CP23" s="157">
        <v>-0.53761429999999999</v>
      </c>
      <c r="CQ23" s="210"/>
      <c r="CR23" s="209" t="s">
        <v>55</v>
      </c>
      <c r="CS23" s="158">
        <v>-0.51026649999999996</v>
      </c>
      <c r="CT23" s="154"/>
    </row>
    <row r="24" spans="1:98">
      <c r="F24" s="421">
        <v>40877</v>
      </c>
      <c r="G24" s="272">
        <f>BMG!F24</f>
        <v>6.2649000000000003E-3</v>
      </c>
      <c r="H24" s="272"/>
      <c r="I24" s="272"/>
      <c r="J24" s="272"/>
      <c r="K24" s="272"/>
      <c r="L24" s="272"/>
      <c r="M24" s="272"/>
      <c r="N24" s="272">
        <f t="shared" si="15"/>
        <v>8.2268876724566731E-2</v>
      </c>
      <c r="O24" s="272"/>
      <c r="P24" s="421">
        <v>40877</v>
      </c>
      <c r="Q24" s="154">
        <f>HLOOKUP(Q$1,'Asset Returns'!$F$1:$N$109,ROW(),0)</f>
        <v>-0.18779569864273071</v>
      </c>
      <c r="R24" s="154">
        <f>HLOOKUP(R$1,'Asset Returns'!$F$1:$N$109,ROW(),0)</f>
        <v>-4.6841815114021301E-2</v>
      </c>
      <c r="S24" s="154">
        <f>HLOOKUP(S$1,'Asset Returns'!$F$1:$N$109,ROW(),0)</f>
        <v>-1.6501657664775848E-2</v>
      </c>
      <c r="T24" s="154">
        <f>HLOOKUP(T$1,'Asset Returns'!$F$1:$N$109,ROW(),0)</f>
        <v>2.2331174463033676E-2</v>
      </c>
      <c r="U24" s="154">
        <f>HLOOKUP(U$1,'Asset Returns'!$F$1:$N$109,ROW(),0)</f>
        <v>-6.7664057016372681E-2</v>
      </c>
      <c r="V24" s="273" t="e">
        <f>IF(IF(Equity!$J$10="no",AA24,AF24)=0,NA(),IF(Equity!$J$10="no",AA24,AF24))</f>
        <v>#N/A</v>
      </c>
      <c r="W24" s="273" t="e">
        <f>IF(IF(Equity!$J$10="no",AB24,AG24)=0,NA(),IF(Equity!$J$10="no",AB24,AG24))</f>
        <v>#N/A</v>
      </c>
      <c r="X24" s="273" t="e">
        <f>IF(IF(Equity!$J$10="no",AC24,AH24)=0,NA(),IF(Equity!$J$10="no",AC24,AH24))</f>
        <v>#N/A</v>
      </c>
      <c r="Y24" s="273" t="e">
        <f>IF(IF(Equity!$J$10="no",AD24,AI24)=0,NA(),IF(Equity!$J$10="no",AD24,AI24))</f>
        <v>#N/A</v>
      </c>
      <c r="Z24" s="273" t="e">
        <f>IF(IF(Equity!$J$10="no",AE24,AJ24)=0,NA(),IF(Equity!$J$10="no",AE24,AJ24))</f>
        <v>#N/A</v>
      </c>
      <c r="AA24" s="274">
        <f ca="1">Equity!$R$34</f>
        <v>0.64097224418739052</v>
      </c>
      <c r="AB24" s="274">
        <f ca="1">Equity!$R$36</f>
        <v>-0.78557102570241866</v>
      </c>
      <c r="AC24" s="274">
        <f ca="1">Equity!$R$38</f>
        <v>0.9378377404978776</v>
      </c>
      <c r="AD24" s="274">
        <f ca="1">Equity!$R$40</f>
        <v>0.17519882647973573</v>
      </c>
      <c r="AE24" s="274">
        <f ca="1">Equity!$R$42</f>
        <v>7.3760094442444454E-2</v>
      </c>
      <c r="AF24" s="154"/>
      <c r="AH24" s="154"/>
      <c r="AJ24" s="154"/>
      <c r="AK24" s="154"/>
      <c r="AL24" s="421">
        <v>40877</v>
      </c>
      <c r="AM24" s="154">
        <f>HLOOKUP(AM$1,'Asset Returns'!$F$1:$ZS$109,ROW(),0)</f>
        <v>1.71897447926046E-2</v>
      </c>
      <c r="AN24" s="154">
        <f>HLOOKUP(AN$1,'Asset Returns'!$F$1:$ZS$109,ROW(),0)</f>
        <v>3.0174254953287516E-2</v>
      </c>
      <c r="AO24" s="273">
        <f ca="1">IF(IF(Bonds!$J$10="no",AQ24,AS24)=0,NA(),IF(Bonds!$J$10="no",AQ24,AS24))</f>
        <v>-0.12498736259259137</v>
      </c>
      <c r="AP24" s="273">
        <f ca="1">IF(IF(Bonds!$J$10="no",AR24,AT24)=0,NA(),IF(Bonds!$J$10="no",AR24,AT24))</f>
        <v>0.19970923689173462</v>
      </c>
      <c r="AQ24" s="273">
        <f ca="1">Bonds!$P$32</f>
        <v>-0.12498736259259137</v>
      </c>
      <c r="AR24" s="273">
        <f ca="1">Bonds!$P$34</f>
        <v>0.19970923689173462</v>
      </c>
      <c r="AS24" s="154"/>
      <c r="AU24" s="154"/>
      <c r="AV24" s="421">
        <v>40877</v>
      </c>
      <c r="AW24" s="154">
        <f>HLOOKUP(AW$1,'Asset Returns'!$F$1:$ZS$109,ROW(),0)</f>
        <v>-2.03016E-2</v>
      </c>
      <c r="AX24" s="154">
        <f>HLOOKUP(AX$1,'Asset Returns'!$F$1:$ZS$109,ROW(),0)</f>
        <v>-2.4925600000000003E-2</v>
      </c>
      <c r="AY24" s="154">
        <f>HLOOKUP(AY$1,'Asset Returns'!$F$1:$ZS$109,ROW(),0)</f>
        <v>-0.10383865</v>
      </c>
      <c r="AZ24" s="154">
        <f>HLOOKUP(AZ$1,'Asset Returns'!$F$1:$ZS$109,ROW(),0)</f>
        <v>-4.2179760000000004E-2</v>
      </c>
      <c r="BA24" s="154">
        <f>HLOOKUP(BA$1,'Asset Returns'!$F$1:$ZS$109,ROW(),0)</f>
        <v>-7.2753699999999991E-2</v>
      </c>
      <c r="BB24" s="273" t="e">
        <f>IF(IF(Funds!$J$10="no",BG24,BL24)=0,NA(),IF(Funds!$J$10="no",BG24,BL24))</f>
        <v>#N/A</v>
      </c>
      <c r="BC24" s="273" t="e">
        <f>IF(IF(Funds!$J$10="no",BH24,BM24)=0,NA(),IF(Funds!$J$10="no",BH24,BM24))</f>
        <v>#N/A</v>
      </c>
      <c r="BD24" s="273" t="e">
        <f>IF(IF(Funds!$J$10="no",BI24,BN24)=0,NA(),IF(Funds!$J$10="no",BI24,BN24))</f>
        <v>#N/A</v>
      </c>
      <c r="BE24" s="273" t="e">
        <f>IF(IF(Funds!$J$10="no",BJ24,BO24)=0,NA(),IF(Funds!$J$10="no",BJ24,BO24))</f>
        <v>#N/A</v>
      </c>
      <c r="BF24" s="273" t="e">
        <f>IF(IF(Funds!$J$10="no",BK24,BP24)=0,NA(),IF(Funds!$J$10="no",BK24,BP24))</f>
        <v>#N/A</v>
      </c>
      <c r="BG24" s="274">
        <f ca="1">Funds!$R$34</f>
        <v>2.5919346055080732</v>
      </c>
      <c r="BH24" s="274">
        <f ca="1">Funds!$R$36</f>
        <v>1.3378677483181089E-2</v>
      </c>
      <c r="BI24" s="274">
        <f ca="1">Funds!$R$38</f>
        <v>-0.15972963753204919</v>
      </c>
      <c r="BJ24" s="274">
        <f ca="1">Funds!$R$40</f>
        <v>-0.16887551350866659</v>
      </c>
      <c r="BK24" s="274">
        <f ca="1">Funds!$R$42</f>
        <v>-1.9222891726906419</v>
      </c>
      <c r="BL24" s="154"/>
      <c r="BN24" s="154"/>
      <c r="BP24" s="154"/>
      <c r="BR24" s="154" t="s">
        <v>52</v>
      </c>
      <c r="BS24" s="158">
        <v>-0.50200370000000005</v>
      </c>
      <c r="BT24" s="154"/>
      <c r="BU24" s="154"/>
      <c r="BX24" s="154"/>
      <c r="BZ24" s="154"/>
      <c r="CA24" s="154"/>
      <c r="CB24" s="154"/>
      <c r="CE24" s="154"/>
      <c r="CG24" s="218"/>
      <c r="CH24" s="154" t="s">
        <v>53</v>
      </c>
      <c r="CI24" s="158">
        <v>-0.61064339999999995</v>
      </c>
      <c r="CJ24" s="153" t="str">
        <f t="shared" si="16"/>
        <v>France</v>
      </c>
      <c r="CK24" s="153" t="s">
        <v>53</v>
      </c>
      <c r="CL24" s="158">
        <v>-0.55839059999999996</v>
      </c>
      <c r="CM24" s="153" t="str">
        <f t="shared" si="17"/>
        <v>France</v>
      </c>
      <c r="CN24" s="154"/>
      <c r="CO24" s="209" t="s">
        <v>56</v>
      </c>
      <c r="CP24" s="157">
        <v>-0.3208685</v>
      </c>
      <c r="CQ24" s="210"/>
      <c r="CR24" s="209" t="s">
        <v>56</v>
      </c>
      <c r="CS24" s="158">
        <v>-0.28497790000000001</v>
      </c>
      <c r="CT24" s="154"/>
    </row>
    <row r="25" spans="1:98">
      <c r="F25" s="421">
        <v>40908</v>
      </c>
      <c r="G25" s="272">
        <f>BMG!F25</f>
        <v>9.3559999999999997E-4</v>
      </c>
      <c r="H25" s="272"/>
      <c r="I25" s="272"/>
      <c r="J25" s="272"/>
      <c r="K25" s="272"/>
      <c r="L25" s="272"/>
      <c r="M25" s="272"/>
      <c r="N25" s="272">
        <f t="shared" si="15"/>
        <v>8.3281447485630267E-2</v>
      </c>
      <c r="O25" s="272"/>
      <c r="P25" s="421">
        <v>40908</v>
      </c>
      <c r="Q25" s="154">
        <f>HLOOKUP(Q$1,'Asset Returns'!$F$1:$N$109,ROW(),0)</f>
        <v>1.6616249457001686E-2</v>
      </c>
      <c r="R25" s="154">
        <f>HLOOKUP(R$1,'Asset Returns'!$F$1:$N$109,ROW(),0)</f>
        <v>3.1486108899116516E-2</v>
      </c>
      <c r="S25" s="154">
        <f>HLOOKUP(S$1,'Asset Returns'!$F$1:$N$109,ROW(),0)</f>
        <v>-1.2424989603459835E-2</v>
      </c>
      <c r="T25" s="154">
        <f>HLOOKUP(T$1,'Asset Returns'!$F$1:$N$109,ROW(),0)</f>
        <v>-2.1914895623922348E-2</v>
      </c>
      <c r="U25" s="154">
        <f>HLOOKUP(U$1,'Asset Returns'!$F$1:$N$109,ROW(),0)</f>
        <v>3.099927119910717E-2</v>
      </c>
      <c r="V25" s="273" t="e">
        <f>IF(IF(Equity!$J$10="no",AA25,AF25)=0,NA(),IF(Equity!$J$10="no",AA25,AF25))</f>
        <v>#N/A</v>
      </c>
      <c r="W25" s="273" t="e">
        <f>IF(IF(Equity!$J$10="no",AB25,AG25)=0,NA(),IF(Equity!$J$10="no",AB25,AG25))</f>
        <v>#N/A</v>
      </c>
      <c r="X25" s="273" t="e">
        <f>IF(IF(Equity!$J$10="no",AC25,AH25)=0,NA(),IF(Equity!$J$10="no",AC25,AH25))</f>
        <v>#N/A</v>
      </c>
      <c r="Y25" s="273" t="e">
        <f>IF(IF(Equity!$J$10="no",AD25,AI25)=0,NA(),IF(Equity!$J$10="no",AD25,AI25))</f>
        <v>#N/A</v>
      </c>
      <c r="Z25" s="273" t="e">
        <f>IF(IF(Equity!$J$10="no",AE25,AJ25)=0,NA(),IF(Equity!$J$10="no",AE25,AJ25))</f>
        <v>#N/A</v>
      </c>
      <c r="AA25" s="274">
        <f ca="1">Equity!$R$34</f>
        <v>0.64097224418739052</v>
      </c>
      <c r="AB25" s="274">
        <f ca="1">Equity!$R$36</f>
        <v>-0.78557102570241866</v>
      </c>
      <c r="AC25" s="274">
        <f ca="1">Equity!$R$38</f>
        <v>0.9378377404978776</v>
      </c>
      <c r="AD25" s="274">
        <f ca="1">Equity!$R$40</f>
        <v>0.17519882647973573</v>
      </c>
      <c r="AE25" s="274">
        <f ca="1">Equity!$R$42</f>
        <v>7.3760094442444454E-2</v>
      </c>
      <c r="AF25" s="154"/>
      <c r="AH25" s="154"/>
      <c r="AJ25" s="154"/>
      <c r="AK25" s="154"/>
      <c r="AL25" s="421">
        <v>40908</v>
      </c>
      <c r="AM25" s="154">
        <f>HLOOKUP(AM$1,'Asset Returns'!$F$1:$ZS$109,ROW(),0)</f>
        <v>1.8043985818464892E-2</v>
      </c>
      <c r="AN25" s="154">
        <f>HLOOKUP(AN$1,'Asset Returns'!$F$1:$ZS$109,ROW(),0)</f>
        <v>2.8227264028577892E-2</v>
      </c>
      <c r="AO25" s="273">
        <f ca="1">IF(IF(Bonds!$J$10="no",AQ25,AS25)=0,NA(),IF(Bonds!$J$10="no",AQ25,AS25))</f>
        <v>-0.12498736259259137</v>
      </c>
      <c r="AP25" s="273">
        <f ca="1">IF(IF(Bonds!$J$10="no",AR25,AT25)=0,NA(),IF(Bonds!$J$10="no",AR25,AT25))</f>
        <v>0.19970923689173462</v>
      </c>
      <c r="AQ25" s="273">
        <f ca="1">Bonds!$P$32</f>
        <v>-0.12498736259259137</v>
      </c>
      <c r="AR25" s="273">
        <f ca="1">Bonds!$P$34</f>
        <v>0.19970923689173462</v>
      </c>
      <c r="AS25" s="154"/>
      <c r="AU25" s="154"/>
      <c r="AV25" s="421">
        <v>40908</v>
      </c>
      <c r="AW25" s="154">
        <f>HLOOKUP(AW$1,'Asset Returns'!$F$1:$ZS$109,ROW(),0)</f>
        <v>-0.11059200000000001</v>
      </c>
      <c r="AX25" s="154">
        <f>HLOOKUP(AX$1,'Asset Returns'!$F$1:$ZS$109,ROW(),0)</f>
        <v>-8.8900000000000003E-4</v>
      </c>
      <c r="AY25" s="154">
        <f>HLOOKUP(AY$1,'Asset Returns'!$F$1:$ZS$109,ROW(),0)</f>
        <v>1.2215E-2</v>
      </c>
      <c r="AZ25" s="154">
        <f>HLOOKUP(AZ$1,'Asset Returns'!$F$1:$ZS$109,ROW(),0)</f>
        <v>-1.9692790000000002E-2</v>
      </c>
      <c r="BA25" s="154">
        <f>HLOOKUP(BA$1,'Asset Returns'!$F$1:$ZS$109,ROW(),0)</f>
        <v>5.1000000000000004E-3</v>
      </c>
      <c r="BB25" s="273" t="e">
        <f>IF(IF(Funds!$J$10="no",BG25,BL25)=0,NA(),IF(Funds!$J$10="no",BG25,BL25))</f>
        <v>#N/A</v>
      </c>
      <c r="BC25" s="273" t="e">
        <f>IF(IF(Funds!$J$10="no",BH25,BM25)=0,NA(),IF(Funds!$J$10="no",BH25,BM25))</f>
        <v>#N/A</v>
      </c>
      <c r="BD25" s="273" t="e">
        <f>IF(IF(Funds!$J$10="no",BI25,BN25)=0,NA(),IF(Funds!$J$10="no",BI25,BN25))</f>
        <v>#N/A</v>
      </c>
      <c r="BE25" s="273" t="e">
        <f>IF(IF(Funds!$J$10="no",BJ25,BO25)=0,NA(),IF(Funds!$J$10="no",BJ25,BO25))</f>
        <v>#N/A</v>
      </c>
      <c r="BF25" s="273" t="e">
        <f>IF(IF(Funds!$J$10="no",BK25,BP25)=0,NA(),IF(Funds!$J$10="no",BK25,BP25))</f>
        <v>#N/A</v>
      </c>
      <c r="BG25" s="274">
        <f ca="1">Funds!$R$34</f>
        <v>2.5919346055080732</v>
      </c>
      <c r="BH25" s="274">
        <f ca="1">Funds!$R$36</f>
        <v>1.3378677483181089E-2</v>
      </c>
      <c r="BI25" s="274">
        <f ca="1">Funds!$R$38</f>
        <v>-0.15972963753204919</v>
      </c>
      <c r="BJ25" s="274">
        <f ca="1">Funds!$R$40</f>
        <v>-0.16887551350866659</v>
      </c>
      <c r="BK25" s="274">
        <f ca="1">Funds!$R$42</f>
        <v>-1.9222891726906419</v>
      </c>
      <c r="BL25" s="154"/>
      <c r="BN25" s="154"/>
      <c r="BP25" s="154"/>
      <c r="BR25" s="154" t="s">
        <v>53</v>
      </c>
      <c r="BS25" s="158">
        <v>-0.49706119999999998</v>
      </c>
      <c r="BT25" s="154"/>
      <c r="BU25" s="154"/>
      <c r="BX25" s="154"/>
      <c r="BZ25" s="154"/>
      <c r="CA25" s="154"/>
      <c r="CB25" s="154"/>
      <c r="CE25" s="154"/>
      <c r="CG25" s="218"/>
      <c r="CH25" s="154" t="s">
        <v>47</v>
      </c>
      <c r="CI25" s="158">
        <v>-0.53682859999999999</v>
      </c>
      <c r="CJ25" s="153" t="str">
        <f t="shared" si="16"/>
        <v>Germany</v>
      </c>
      <c r="CK25" s="153" t="s">
        <v>47</v>
      </c>
      <c r="CL25" s="158">
        <v>-0.40710259999999998</v>
      </c>
      <c r="CM25" s="153" t="str">
        <f t="shared" si="17"/>
        <v>Germany</v>
      </c>
      <c r="CN25" s="154"/>
      <c r="CO25" s="209" t="s">
        <v>57</v>
      </c>
      <c r="CP25" s="157">
        <v>-0.70621820000000002</v>
      </c>
      <c r="CQ25" s="210"/>
      <c r="CR25" s="209" t="s">
        <v>57</v>
      </c>
      <c r="CS25" s="158">
        <v>-0.47554479999999999</v>
      </c>
      <c r="CT25" s="154"/>
    </row>
    <row r="26" spans="1:98">
      <c r="F26" s="421">
        <v>40939</v>
      </c>
      <c r="G26" s="272">
        <f>BMG!F26</f>
        <v>1.39825E-2</v>
      </c>
      <c r="H26" s="272"/>
      <c r="I26" s="272"/>
      <c r="J26" s="272"/>
      <c r="K26" s="272"/>
      <c r="L26" s="272"/>
      <c r="M26" s="272"/>
      <c r="N26" s="272">
        <f t="shared" si="15"/>
        <v>9.8428430325098182E-2</v>
      </c>
      <c r="O26" s="272"/>
      <c r="P26" s="421">
        <v>40939</v>
      </c>
      <c r="Q26" s="154">
        <f>HLOOKUP(Q$1,'Asset Returns'!$F$1:$N$109,ROW(),0)</f>
        <v>0.46498546004295349</v>
      </c>
      <c r="R26" s="154">
        <f>HLOOKUP(R$1,'Asset Returns'!$F$1:$N$109,ROW(),0)</f>
        <v>0.10543514043092728</v>
      </c>
      <c r="S26" s="154">
        <f>HLOOKUP(S$1,'Asset Returns'!$F$1:$N$109,ROW(),0)</f>
        <v>3.8239728659391403E-2</v>
      </c>
      <c r="T26" s="154">
        <f>HLOOKUP(T$1,'Asset Returns'!$F$1:$N$109,ROW(),0)</f>
        <v>4.7422237694263458E-2</v>
      </c>
      <c r="U26" s="154">
        <f>HLOOKUP(U$1,'Asset Returns'!$F$1:$N$109,ROW(),0)</f>
        <v>9.480014443397522E-2</v>
      </c>
      <c r="V26" s="273" t="e">
        <f>IF(IF(Equity!$J$10="no",AA26,AF26)=0,NA(),IF(Equity!$J$10="no",AA26,AF26))</f>
        <v>#N/A</v>
      </c>
      <c r="W26" s="273" t="e">
        <f>IF(IF(Equity!$J$10="no",AB26,AG26)=0,NA(),IF(Equity!$J$10="no",AB26,AG26))</f>
        <v>#N/A</v>
      </c>
      <c r="X26" s="273" t="e">
        <f>IF(IF(Equity!$J$10="no",AC26,AH26)=0,NA(),IF(Equity!$J$10="no",AC26,AH26))</f>
        <v>#N/A</v>
      </c>
      <c r="Y26" s="273" t="e">
        <f>IF(IF(Equity!$J$10="no",AD26,AI26)=0,NA(),IF(Equity!$J$10="no",AD26,AI26))</f>
        <v>#N/A</v>
      </c>
      <c r="Z26" s="273" t="e">
        <f>IF(IF(Equity!$J$10="no",AE26,AJ26)=0,NA(),IF(Equity!$J$10="no",AE26,AJ26))</f>
        <v>#N/A</v>
      </c>
      <c r="AA26" s="274">
        <f ca="1">Equity!$R$34</f>
        <v>0.64097224418739052</v>
      </c>
      <c r="AB26" s="274">
        <f ca="1">Equity!$R$36</f>
        <v>-0.78557102570241866</v>
      </c>
      <c r="AC26" s="274">
        <f ca="1">Equity!$R$38</f>
        <v>0.9378377404978776</v>
      </c>
      <c r="AD26" s="274">
        <f ca="1">Equity!$R$40</f>
        <v>0.17519882647973573</v>
      </c>
      <c r="AE26" s="274">
        <f ca="1">Equity!$R$42</f>
        <v>7.3760094442444454E-2</v>
      </c>
      <c r="AF26" s="154"/>
      <c r="AH26" s="154"/>
      <c r="AJ26" s="154"/>
      <c r="AK26" s="154"/>
      <c r="AL26" s="421">
        <v>40939</v>
      </c>
      <c r="AM26" s="154">
        <f>HLOOKUP(AM$1,'Asset Returns'!$F$1:$ZS$109,ROW(),0)</f>
        <v>-8.0895349730880639E-5</v>
      </c>
      <c r="AN26" s="154">
        <f>HLOOKUP(AN$1,'Asset Returns'!$F$1:$ZS$109,ROW(),0)</f>
        <v>-1.9387259210240648E-3</v>
      </c>
      <c r="AO26" s="273">
        <f ca="1">IF(IF(Bonds!$J$10="no",AQ26,AS26)=0,NA(),IF(Bonds!$J$10="no",AQ26,AS26))</f>
        <v>-0.12498736259259137</v>
      </c>
      <c r="AP26" s="273">
        <f ca="1">IF(IF(Bonds!$J$10="no",AR26,AT26)=0,NA(),IF(Bonds!$J$10="no",AR26,AT26))</f>
        <v>0.19970923689173462</v>
      </c>
      <c r="AQ26" s="273">
        <f ca="1">Bonds!$P$32</f>
        <v>-0.12498736259259137</v>
      </c>
      <c r="AR26" s="273">
        <f ca="1">Bonds!$P$34</f>
        <v>0.19970923689173462</v>
      </c>
      <c r="AS26" s="154"/>
      <c r="AU26" s="154"/>
      <c r="AV26" s="421">
        <v>40939</v>
      </c>
      <c r="AW26" s="154">
        <f>HLOOKUP(AW$1,'Asset Returns'!$F$1:$ZS$109,ROW(),0)</f>
        <v>0.12215479999999999</v>
      </c>
      <c r="AX26" s="154">
        <f>HLOOKUP(AX$1,'Asset Returns'!$F$1:$ZS$109,ROW(),0)</f>
        <v>4.9534599999999998E-2</v>
      </c>
      <c r="AY26" s="154">
        <f>HLOOKUP(AY$1,'Asset Returns'!$F$1:$ZS$109,ROW(),0)</f>
        <v>4.383451E-2</v>
      </c>
      <c r="AZ26" s="154">
        <f>HLOOKUP(AZ$1,'Asset Returns'!$F$1:$ZS$109,ROW(),0)</f>
        <v>5.378877E-2</v>
      </c>
      <c r="BA26" s="154">
        <f>HLOOKUP(BA$1,'Asset Returns'!$F$1:$ZS$109,ROW(),0)</f>
        <v>-4.4106199999999998E-2</v>
      </c>
      <c r="BB26" s="273" t="e">
        <f>IF(IF(Funds!$J$10="no",BG26,BL26)=0,NA(),IF(Funds!$J$10="no",BG26,BL26))</f>
        <v>#N/A</v>
      </c>
      <c r="BC26" s="273" t="e">
        <f>IF(IF(Funds!$J$10="no",BH26,BM26)=0,NA(),IF(Funds!$J$10="no",BH26,BM26))</f>
        <v>#N/A</v>
      </c>
      <c r="BD26" s="273" t="e">
        <f>IF(IF(Funds!$J$10="no",BI26,BN26)=0,NA(),IF(Funds!$J$10="no",BI26,BN26))</f>
        <v>#N/A</v>
      </c>
      <c r="BE26" s="273" t="e">
        <f>IF(IF(Funds!$J$10="no",BJ26,BO26)=0,NA(),IF(Funds!$J$10="no",BJ26,BO26))</f>
        <v>#N/A</v>
      </c>
      <c r="BF26" s="273" t="e">
        <f>IF(IF(Funds!$J$10="no",BK26,BP26)=0,NA(),IF(Funds!$J$10="no",BK26,BP26))</f>
        <v>#N/A</v>
      </c>
      <c r="BG26" s="274">
        <f ca="1">Funds!$R$34</f>
        <v>2.5919346055080732</v>
      </c>
      <c r="BH26" s="274">
        <f ca="1">Funds!$R$36</f>
        <v>1.3378677483181089E-2</v>
      </c>
      <c r="BI26" s="274">
        <f ca="1">Funds!$R$38</f>
        <v>-0.15972963753204919</v>
      </c>
      <c r="BJ26" s="274">
        <f ca="1">Funds!$R$40</f>
        <v>-0.16887551350866659</v>
      </c>
      <c r="BK26" s="274">
        <f ca="1">Funds!$R$42</f>
        <v>-1.9222891726906419</v>
      </c>
      <c r="BL26" s="154"/>
      <c r="BN26" s="154"/>
      <c r="BP26" s="154"/>
      <c r="BR26" s="154" t="s">
        <v>54</v>
      </c>
      <c r="BS26" s="158">
        <v>-0.15028269999999999</v>
      </c>
      <c r="BT26" s="154"/>
      <c r="BU26" s="154"/>
      <c r="BX26" s="154"/>
      <c r="BZ26" s="154"/>
      <c r="CA26" s="154"/>
      <c r="CB26" s="154"/>
      <c r="CE26" s="154"/>
      <c r="CG26" s="218"/>
      <c r="CH26" s="154" t="s">
        <v>55</v>
      </c>
      <c r="CI26" s="158">
        <v>-0.53761429999999999</v>
      </c>
      <c r="CJ26" s="153" t="str">
        <f t="shared" si="16"/>
        <v>Greece</v>
      </c>
      <c r="CK26" s="153" t="s">
        <v>55</v>
      </c>
      <c r="CL26" s="158">
        <v>-0.51026649999999996</v>
      </c>
      <c r="CM26" s="153" t="str">
        <f t="shared" si="17"/>
        <v>Greece</v>
      </c>
      <c r="CN26" s="154"/>
      <c r="CO26" s="209" t="s">
        <v>62</v>
      </c>
      <c r="CP26" s="157">
        <v>-0.27785159999999998</v>
      </c>
      <c r="CQ26" s="210"/>
      <c r="CR26" s="209" t="s">
        <v>62</v>
      </c>
      <c r="CS26" s="158">
        <v>-0.26873950000000002</v>
      </c>
      <c r="CT26" s="154"/>
    </row>
    <row r="27" spans="1:98">
      <c r="F27" s="421">
        <v>40968</v>
      </c>
      <c r="G27" s="272">
        <f>BMG!F27</f>
        <v>-8.9946999999999996E-3</v>
      </c>
      <c r="H27" s="272"/>
      <c r="I27" s="272"/>
      <c r="J27" s="272"/>
      <c r="K27" s="272"/>
      <c r="L27" s="272"/>
      <c r="M27" s="272"/>
      <c r="N27" s="272">
        <f t="shared" si="15"/>
        <v>8.8548396122853035E-2</v>
      </c>
      <c r="O27" s="272"/>
      <c r="P27" s="421">
        <v>40968</v>
      </c>
      <c r="Q27" s="154">
        <f>HLOOKUP(Q$1,'Asset Returns'!$F$1:$N$109,ROW(),0)</f>
        <v>0.12145635485649109</v>
      </c>
      <c r="R27" s="154">
        <f>HLOOKUP(R$1,'Asset Returns'!$F$1:$N$109,ROW(),0)</f>
        <v>0.12476598471403122</v>
      </c>
      <c r="S27" s="154">
        <f>HLOOKUP(S$1,'Asset Returns'!$F$1:$N$109,ROW(),0)</f>
        <v>6.9683186709880829E-2</v>
      </c>
      <c r="T27" s="154">
        <f>HLOOKUP(T$1,'Asset Returns'!$F$1:$N$109,ROW(),0)</f>
        <v>2.5413770228624344E-2</v>
      </c>
      <c r="U27" s="154">
        <f>HLOOKUP(U$1,'Asset Returns'!$F$1:$N$109,ROW(),0)</f>
        <v>6.2681742012500763E-2</v>
      </c>
      <c r="V27" s="273" t="e">
        <f>IF(IF(Equity!$J$10="no",AA27,AF27)=0,NA(),IF(Equity!$J$10="no",AA27,AF27))</f>
        <v>#N/A</v>
      </c>
      <c r="W27" s="273" t="e">
        <f>IF(IF(Equity!$J$10="no",AB27,AG27)=0,NA(),IF(Equity!$J$10="no",AB27,AG27))</f>
        <v>#N/A</v>
      </c>
      <c r="X27" s="273" t="e">
        <f>IF(IF(Equity!$J$10="no",AC27,AH27)=0,NA(),IF(Equity!$J$10="no",AC27,AH27))</f>
        <v>#N/A</v>
      </c>
      <c r="Y27" s="273" t="e">
        <f>IF(IF(Equity!$J$10="no",AD27,AI27)=0,NA(),IF(Equity!$J$10="no",AD27,AI27))</f>
        <v>#N/A</v>
      </c>
      <c r="Z27" s="273" t="e">
        <f>IF(IF(Equity!$J$10="no",AE27,AJ27)=0,NA(),IF(Equity!$J$10="no",AE27,AJ27))</f>
        <v>#N/A</v>
      </c>
      <c r="AA27" s="274">
        <f ca="1">Equity!$R$34</f>
        <v>0.64097224418739052</v>
      </c>
      <c r="AB27" s="274">
        <f ca="1">Equity!$R$36</f>
        <v>-0.78557102570241866</v>
      </c>
      <c r="AC27" s="274">
        <f ca="1">Equity!$R$38</f>
        <v>0.9378377404978776</v>
      </c>
      <c r="AD27" s="274">
        <f ca="1">Equity!$R$40</f>
        <v>0.17519882647973573</v>
      </c>
      <c r="AE27" s="274">
        <f ca="1">Equity!$R$42</f>
        <v>7.3760094442444454E-2</v>
      </c>
      <c r="AF27" s="154"/>
      <c r="AH27" s="154"/>
      <c r="AJ27" s="154"/>
      <c r="AK27" s="154"/>
      <c r="AL27" s="421">
        <v>40968</v>
      </c>
      <c r="AM27" s="154">
        <f>HLOOKUP(AM$1,'Asset Returns'!$F$1:$ZS$109,ROW(),0)</f>
        <v>-9.1500042473494636E-3</v>
      </c>
      <c r="AN27" s="154">
        <f>HLOOKUP(AN$1,'Asset Returns'!$F$1:$ZS$109,ROW(),0)</f>
        <v>-1.9057140341153245E-2</v>
      </c>
      <c r="AO27" s="273">
        <f ca="1">IF(IF(Bonds!$J$10="no",AQ27,AS27)=0,NA(),IF(Bonds!$J$10="no",AQ27,AS27))</f>
        <v>-0.12498736259259137</v>
      </c>
      <c r="AP27" s="273">
        <f ca="1">IF(IF(Bonds!$J$10="no",AR27,AT27)=0,NA(),IF(Bonds!$J$10="no",AR27,AT27))</f>
        <v>0.19970923689173462</v>
      </c>
      <c r="AQ27" s="273">
        <f ca="1">Bonds!$P$32</f>
        <v>-0.12498736259259137</v>
      </c>
      <c r="AR27" s="273">
        <f ca="1">Bonds!$P$34</f>
        <v>0.19970923689173462</v>
      </c>
      <c r="AS27" s="154"/>
      <c r="AU27" s="154"/>
      <c r="AV27" s="421">
        <v>40968</v>
      </c>
      <c r="AW27" s="154">
        <f>HLOOKUP(AW$1,'Asset Returns'!$F$1:$ZS$109,ROW(),0)</f>
        <v>-6.0851999999999998E-3</v>
      </c>
      <c r="AX27" s="154">
        <f>HLOOKUP(AX$1,'Asset Returns'!$F$1:$ZS$109,ROW(),0)</f>
        <v>4.8231500000000004E-2</v>
      </c>
      <c r="AY27" s="154">
        <f>HLOOKUP(AY$1,'Asset Returns'!$F$1:$ZS$109,ROW(),0)</f>
        <v>6.8243140000000008E-2</v>
      </c>
      <c r="AZ27" s="154">
        <f>HLOOKUP(AZ$1,'Asset Returns'!$F$1:$ZS$109,ROW(),0)</f>
        <v>4.8081659999999998E-2</v>
      </c>
      <c r="BA27" s="154">
        <f>HLOOKUP(BA$1,'Asset Returns'!$F$1:$ZS$109,ROW(),0)</f>
        <v>-0.11841570000000001</v>
      </c>
      <c r="BB27" s="273" t="e">
        <f>IF(IF(Funds!$J$10="no",BG27,BL27)=0,NA(),IF(Funds!$J$10="no",BG27,BL27))</f>
        <v>#N/A</v>
      </c>
      <c r="BC27" s="273" t="e">
        <f>IF(IF(Funds!$J$10="no",BH27,BM27)=0,NA(),IF(Funds!$J$10="no",BH27,BM27))</f>
        <v>#N/A</v>
      </c>
      <c r="BD27" s="273" t="e">
        <f>IF(IF(Funds!$J$10="no",BI27,BN27)=0,NA(),IF(Funds!$J$10="no",BI27,BN27))</f>
        <v>#N/A</v>
      </c>
      <c r="BE27" s="273" t="e">
        <f>IF(IF(Funds!$J$10="no",BJ27,BO27)=0,NA(),IF(Funds!$J$10="no",BJ27,BO27))</f>
        <v>#N/A</v>
      </c>
      <c r="BF27" s="273" t="e">
        <f>IF(IF(Funds!$J$10="no",BK27,BP27)=0,NA(),IF(Funds!$J$10="no",BK27,BP27))</f>
        <v>#N/A</v>
      </c>
      <c r="BG27" s="274">
        <f ca="1">Funds!$R$34</f>
        <v>2.5919346055080732</v>
      </c>
      <c r="BH27" s="274">
        <f ca="1">Funds!$R$36</f>
        <v>1.3378677483181089E-2</v>
      </c>
      <c r="BI27" s="274">
        <f ca="1">Funds!$R$38</f>
        <v>-0.15972963753204919</v>
      </c>
      <c r="BJ27" s="274">
        <f ca="1">Funds!$R$40</f>
        <v>-0.16887551350866659</v>
      </c>
      <c r="BK27" s="274">
        <f ca="1">Funds!$R$42</f>
        <v>-1.9222891726906419</v>
      </c>
      <c r="BL27" s="154"/>
      <c r="BN27" s="154"/>
      <c r="BP27" s="154"/>
      <c r="BR27" s="154" t="s">
        <v>55</v>
      </c>
      <c r="BS27" s="158">
        <v>-0.30672139999999998</v>
      </c>
      <c r="BT27" s="154"/>
      <c r="BU27" s="154"/>
      <c r="BX27" s="154"/>
      <c r="BZ27" s="154"/>
      <c r="CA27" s="154"/>
      <c r="CB27" s="154"/>
      <c r="CE27" s="154"/>
      <c r="CG27" s="218"/>
      <c r="CH27" s="154" t="s">
        <v>118</v>
      </c>
      <c r="CI27" s="158">
        <v>-0.41928729999999997</v>
      </c>
      <c r="CJ27" s="153" t="e">
        <f t="shared" si="16"/>
        <v>#N/A</v>
      </c>
      <c r="CK27" s="153" t="s">
        <v>118</v>
      </c>
      <c r="CL27" s="158">
        <v>-0.41928729999999997</v>
      </c>
      <c r="CM27" s="153" t="e">
        <f t="shared" si="17"/>
        <v>#N/A</v>
      </c>
      <c r="CN27" s="154"/>
      <c r="CO27" s="209" t="s">
        <v>61</v>
      </c>
      <c r="CP27" s="157">
        <v>0.1957421</v>
      </c>
      <c r="CQ27" s="210"/>
      <c r="CR27" s="209" t="s">
        <v>61</v>
      </c>
      <c r="CS27" s="158">
        <v>0.13744120000000001</v>
      </c>
      <c r="CT27" s="154"/>
    </row>
    <row r="28" spans="1:98">
      <c r="F28" s="421">
        <v>40999</v>
      </c>
      <c r="G28" s="272">
        <f>BMG!F28</f>
        <v>-4.70316E-2</v>
      </c>
      <c r="H28" s="272"/>
      <c r="I28" s="272"/>
      <c r="J28" s="272"/>
      <c r="K28" s="272"/>
      <c r="L28" s="272"/>
      <c r="M28" s="272"/>
      <c r="N28" s="272">
        <f t="shared" si="15"/>
        <v>3.7352223375761495E-2</v>
      </c>
      <c r="O28" s="272"/>
      <c r="P28" s="421">
        <v>40999</v>
      </c>
      <c r="Q28" s="154">
        <f>HLOOKUP(Q$1,'Asset Returns'!$F$1:$N$109,ROW(),0)</f>
        <v>-2.2715561091899872E-2</v>
      </c>
      <c r="R28" s="154">
        <f>HLOOKUP(R$1,'Asset Returns'!$F$1:$N$109,ROW(),0)</f>
        <v>5.5196631699800491E-2</v>
      </c>
      <c r="S28" s="154">
        <f>HLOOKUP(S$1,'Asset Returns'!$F$1:$N$109,ROW(),0)</f>
        <v>-6.0441341251134872E-2</v>
      </c>
      <c r="T28" s="154">
        <f>HLOOKUP(T$1,'Asset Returns'!$F$1:$N$109,ROW(),0)</f>
        <v>6.0590658336877823E-2</v>
      </c>
      <c r="U28" s="154">
        <f>HLOOKUP(U$1,'Asset Returns'!$F$1:$N$109,ROW(),0)</f>
        <v>4.3174218386411667E-2</v>
      </c>
      <c r="V28" s="273" t="e">
        <f>IF(IF(Equity!$J$10="no",AA28,AF28)=0,NA(),IF(Equity!$J$10="no",AA28,AF28))</f>
        <v>#N/A</v>
      </c>
      <c r="W28" s="273" t="e">
        <f>IF(IF(Equity!$J$10="no",AB28,AG28)=0,NA(),IF(Equity!$J$10="no",AB28,AG28))</f>
        <v>#N/A</v>
      </c>
      <c r="X28" s="273" t="e">
        <f>IF(IF(Equity!$J$10="no",AC28,AH28)=0,NA(),IF(Equity!$J$10="no",AC28,AH28))</f>
        <v>#N/A</v>
      </c>
      <c r="Y28" s="273" t="e">
        <f>IF(IF(Equity!$J$10="no",AD28,AI28)=0,NA(),IF(Equity!$J$10="no",AD28,AI28))</f>
        <v>#N/A</v>
      </c>
      <c r="Z28" s="273" t="e">
        <f>IF(IF(Equity!$J$10="no",AE28,AJ28)=0,NA(),IF(Equity!$J$10="no",AE28,AJ28))</f>
        <v>#N/A</v>
      </c>
      <c r="AA28" s="274">
        <f ca="1">Equity!$R$34</f>
        <v>0.64097224418739052</v>
      </c>
      <c r="AB28" s="274">
        <f ca="1">Equity!$R$36</f>
        <v>-0.78557102570241866</v>
      </c>
      <c r="AC28" s="274">
        <f ca="1">Equity!$R$38</f>
        <v>0.9378377404978776</v>
      </c>
      <c r="AD28" s="274">
        <f ca="1">Equity!$R$40</f>
        <v>0.17519882647973573</v>
      </c>
      <c r="AE28" s="274">
        <f ca="1">Equity!$R$42</f>
        <v>7.3760094442444454E-2</v>
      </c>
      <c r="AF28" s="154"/>
      <c r="AH28" s="154"/>
      <c r="AJ28" s="154"/>
      <c r="AK28" s="154"/>
      <c r="AL28" s="421">
        <v>40999</v>
      </c>
      <c r="AM28" s="154">
        <f>HLOOKUP(AM$1,'Asset Returns'!$F$1:$ZS$109,ROW(),0)</f>
        <v>-2.0326514282448249E-2</v>
      </c>
      <c r="AN28" s="154">
        <f>HLOOKUP(AN$1,'Asset Returns'!$F$1:$ZS$109,ROW(),0)</f>
        <v>-1.2779080328665371E-2</v>
      </c>
      <c r="AO28" s="273">
        <f ca="1">IF(IF(Bonds!$J$10="no",AQ28,AS28)=0,NA(),IF(Bonds!$J$10="no",AQ28,AS28))</f>
        <v>-0.12498736259259137</v>
      </c>
      <c r="AP28" s="273">
        <f ca="1">IF(IF(Bonds!$J$10="no",AR28,AT28)=0,NA(),IF(Bonds!$J$10="no",AR28,AT28))</f>
        <v>0.19970923689173462</v>
      </c>
      <c r="AQ28" s="273">
        <f ca="1">Bonds!$P$32</f>
        <v>-0.12498736259259137</v>
      </c>
      <c r="AR28" s="273">
        <f ca="1">Bonds!$P$34</f>
        <v>0.19970923689173462</v>
      </c>
      <c r="AS28" s="154"/>
      <c r="AU28" s="154"/>
      <c r="AV28" s="421">
        <v>40999</v>
      </c>
      <c r="AW28" s="154">
        <f>HLOOKUP(AW$1,'Asset Returns'!$F$1:$ZS$109,ROW(),0)</f>
        <v>-9.795920000000001E-2</v>
      </c>
      <c r="AX28" s="154">
        <f>HLOOKUP(AX$1,'Asset Returns'!$F$1:$ZS$109,ROW(),0)</f>
        <v>1.28506E-2</v>
      </c>
      <c r="AY28" s="154">
        <f>HLOOKUP(AY$1,'Asset Returns'!$F$1:$ZS$109,ROW(),0)</f>
        <v>-1.0393110000000001E-2</v>
      </c>
      <c r="AZ28" s="154">
        <f>HLOOKUP(AZ$1,'Asset Returns'!$F$1:$ZS$109,ROW(),0)</f>
        <v>3.1940650000000001E-2</v>
      </c>
      <c r="BA28" s="154">
        <f>HLOOKUP(BA$1,'Asset Returns'!$F$1:$ZS$109,ROW(),0)</f>
        <v>6.1139400000000003E-2</v>
      </c>
      <c r="BB28" s="273" t="e">
        <f>IF(IF(Funds!$J$10="no",BG28,BL28)=0,NA(),IF(Funds!$J$10="no",BG28,BL28))</f>
        <v>#N/A</v>
      </c>
      <c r="BC28" s="273" t="e">
        <f>IF(IF(Funds!$J$10="no",BH28,BM28)=0,NA(),IF(Funds!$J$10="no",BH28,BM28))</f>
        <v>#N/A</v>
      </c>
      <c r="BD28" s="273" t="e">
        <f>IF(IF(Funds!$J$10="no",BI28,BN28)=0,NA(),IF(Funds!$J$10="no",BI28,BN28))</f>
        <v>#N/A</v>
      </c>
      <c r="BE28" s="273" t="e">
        <f>IF(IF(Funds!$J$10="no",BJ28,BO28)=0,NA(),IF(Funds!$J$10="no",BJ28,BO28))</f>
        <v>#N/A</v>
      </c>
      <c r="BF28" s="273" t="e">
        <f>IF(IF(Funds!$J$10="no",BK28,BP28)=0,NA(),IF(Funds!$J$10="no",BK28,BP28))</f>
        <v>#N/A</v>
      </c>
      <c r="BG28" s="274">
        <f ca="1">Funds!$R$34</f>
        <v>2.5919346055080732</v>
      </c>
      <c r="BH28" s="274">
        <f ca="1">Funds!$R$36</f>
        <v>1.3378677483181089E-2</v>
      </c>
      <c r="BI28" s="274">
        <f ca="1">Funds!$R$38</f>
        <v>-0.15972963753204919</v>
      </c>
      <c r="BJ28" s="274">
        <f ca="1">Funds!$R$40</f>
        <v>-0.16887551350866659</v>
      </c>
      <c r="BK28" s="274">
        <f ca="1">Funds!$R$42</f>
        <v>-1.9222891726906419</v>
      </c>
      <c r="BL28" s="154"/>
      <c r="BN28" s="154"/>
      <c r="BP28" s="154"/>
      <c r="BR28" s="154" t="s">
        <v>56</v>
      </c>
      <c r="BS28" s="158">
        <v>-0.2731847</v>
      </c>
      <c r="BT28" s="154"/>
      <c r="BU28" s="154"/>
      <c r="BX28" s="154"/>
      <c r="BZ28" s="154"/>
      <c r="CA28" s="154"/>
      <c r="CB28" s="154"/>
      <c r="CE28" s="154"/>
      <c r="CG28" s="218"/>
      <c r="CH28" s="154" t="s">
        <v>119</v>
      </c>
      <c r="CI28" s="158">
        <v>0.1275876</v>
      </c>
      <c r="CJ28" s="153" t="e">
        <f t="shared" si="16"/>
        <v>#N/A</v>
      </c>
      <c r="CK28" s="153" t="s">
        <v>119</v>
      </c>
      <c r="CL28" s="158">
        <v>0.17008970000000001</v>
      </c>
      <c r="CM28" s="153" t="e">
        <f t="shared" si="17"/>
        <v>#N/A</v>
      </c>
      <c r="CN28" s="154"/>
      <c r="CO28" s="209" t="s">
        <v>58</v>
      </c>
      <c r="CP28" s="157">
        <v>0.1602797</v>
      </c>
      <c r="CQ28" s="210"/>
      <c r="CR28" s="209" t="s">
        <v>58</v>
      </c>
      <c r="CS28" s="158">
        <v>0.12944700000000001</v>
      </c>
      <c r="CT28" s="154"/>
    </row>
    <row r="29" spans="1:98">
      <c r="F29" s="421">
        <v>41029</v>
      </c>
      <c r="G29" s="272">
        <f>BMG!F29</f>
        <v>1.32511E-2</v>
      </c>
      <c r="H29" s="272"/>
      <c r="I29" s="272"/>
      <c r="J29" s="272"/>
      <c r="K29" s="272"/>
      <c r="L29" s="272"/>
      <c r="M29" s="272"/>
      <c r="N29" s="272">
        <f t="shared" si="15"/>
        <v>5.1098281422935932E-2</v>
      </c>
      <c r="O29" s="272"/>
      <c r="P29" s="421">
        <v>41029</v>
      </c>
      <c r="Q29" s="154">
        <f>HLOOKUP(Q$1,'Asset Returns'!$F$1:$N$109,ROW(),0)</f>
        <v>0.11174681037664413</v>
      </c>
      <c r="R29" s="154">
        <f>HLOOKUP(R$1,'Asset Returns'!$F$1:$N$109,ROW(),0)</f>
        <v>-4.5819956809282303E-2</v>
      </c>
      <c r="S29" s="154">
        <f>HLOOKUP(S$1,'Asset Returns'!$F$1:$N$109,ROW(),0)</f>
        <v>-2.2225718945264816E-2</v>
      </c>
      <c r="T29" s="154">
        <f>HLOOKUP(T$1,'Asset Returns'!$F$1:$N$109,ROW(),0)</f>
        <v>-7.5245685875415802E-3</v>
      </c>
      <c r="U29" s="154">
        <f>HLOOKUP(U$1,'Asset Returns'!$F$1:$N$109,ROW(),0)</f>
        <v>-2.2150976583361626E-2</v>
      </c>
      <c r="V29" s="273" t="e">
        <f>IF(IF(Equity!$J$10="no",AA29,AF29)=0,NA(),IF(Equity!$J$10="no",AA29,AF29))</f>
        <v>#N/A</v>
      </c>
      <c r="W29" s="273" t="e">
        <f>IF(IF(Equity!$J$10="no",AB29,AG29)=0,NA(),IF(Equity!$J$10="no",AB29,AG29))</f>
        <v>#N/A</v>
      </c>
      <c r="X29" s="273" t="e">
        <f>IF(IF(Equity!$J$10="no",AC29,AH29)=0,NA(),IF(Equity!$J$10="no",AC29,AH29))</f>
        <v>#N/A</v>
      </c>
      <c r="Y29" s="273" t="e">
        <f>IF(IF(Equity!$J$10="no",AD29,AI29)=0,NA(),IF(Equity!$J$10="no",AD29,AI29))</f>
        <v>#N/A</v>
      </c>
      <c r="Z29" s="273" t="e">
        <f>IF(IF(Equity!$J$10="no",AE29,AJ29)=0,NA(),IF(Equity!$J$10="no",AE29,AJ29))</f>
        <v>#N/A</v>
      </c>
      <c r="AA29" s="274">
        <f ca="1">Equity!$R$34</f>
        <v>0.64097224418739052</v>
      </c>
      <c r="AB29" s="274">
        <f ca="1">Equity!$R$36</f>
        <v>-0.78557102570241866</v>
      </c>
      <c r="AC29" s="274">
        <f ca="1">Equity!$R$38</f>
        <v>0.9378377404978776</v>
      </c>
      <c r="AD29" s="274">
        <f ca="1">Equity!$R$40</f>
        <v>0.17519882647973573</v>
      </c>
      <c r="AE29" s="274">
        <f ca="1">Equity!$R$42</f>
        <v>7.3760094442444454E-2</v>
      </c>
      <c r="AF29" s="154"/>
      <c r="AH29" s="154"/>
      <c r="AJ29" s="154"/>
      <c r="AK29" s="154"/>
      <c r="AL29" s="421">
        <v>41029</v>
      </c>
      <c r="AM29" s="154">
        <f>HLOOKUP(AM$1,'Asset Returns'!$F$1:$ZS$109,ROW(),0)</f>
        <v>2.329855149767468E-2</v>
      </c>
      <c r="AN29" s="154">
        <f>HLOOKUP(AN$1,'Asset Returns'!$F$1:$ZS$109,ROW(),0)</f>
        <v>2.8044631777140561E-2</v>
      </c>
      <c r="AO29" s="273">
        <f ca="1">IF(IF(Bonds!$J$10="no",AQ29,AS29)=0,NA(),IF(Bonds!$J$10="no",AQ29,AS29))</f>
        <v>-0.12498736259259137</v>
      </c>
      <c r="AP29" s="273">
        <f ca="1">IF(IF(Bonds!$J$10="no",AR29,AT29)=0,NA(),IF(Bonds!$J$10="no",AR29,AT29))</f>
        <v>0.19970923689173462</v>
      </c>
      <c r="AQ29" s="273">
        <f ca="1">Bonds!$P$32</f>
        <v>-0.12498736259259137</v>
      </c>
      <c r="AR29" s="273">
        <f ca="1">Bonds!$P$34</f>
        <v>0.19970923689173462</v>
      </c>
      <c r="AS29" s="154"/>
      <c r="AU29" s="154"/>
      <c r="AV29" s="421">
        <v>41029</v>
      </c>
      <c r="AW29" s="154">
        <f>HLOOKUP(AW$1,'Asset Returns'!$F$1:$ZS$109,ROW(),0)</f>
        <v>-5.80694E-2</v>
      </c>
      <c r="AX29" s="154">
        <f>HLOOKUP(AX$1,'Asset Returns'!$F$1:$ZS$109,ROW(),0)</f>
        <v>-1.18896E-2</v>
      </c>
      <c r="AY29" s="154">
        <f>HLOOKUP(AY$1,'Asset Returns'!$F$1:$ZS$109,ROW(),0)</f>
        <v>-1.8912990000000001E-2</v>
      </c>
      <c r="AZ29" s="154">
        <f>HLOOKUP(AZ$1,'Asset Returns'!$F$1:$ZS$109,ROW(),0)</f>
        <v>-1.99188E-2</v>
      </c>
      <c r="BA29" s="154">
        <f>HLOOKUP(BA$1,'Asset Returns'!$F$1:$ZS$109,ROW(),0)</f>
        <v>1.61502E-2</v>
      </c>
      <c r="BB29" s="273" t="e">
        <f>IF(IF(Funds!$J$10="no",BG29,BL29)=0,NA(),IF(Funds!$J$10="no",BG29,BL29))</f>
        <v>#N/A</v>
      </c>
      <c r="BC29" s="273" t="e">
        <f>IF(IF(Funds!$J$10="no",BH29,BM29)=0,NA(),IF(Funds!$J$10="no",BH29,BM29))</f>
        <v>#N/A</v>
      </c>
      <c r="BD29" s="273" t="e">
        <f>IF(IF(Funds!$J$10="no",BI29,BN29)=0,NA(),IF(Funds!$J$10="no",BI29,BN29))</f>
        <v>#N/A</v>
      </c>
      <c r="BE29" s="273" t="e">
        <f>IF(IF(Funds!$J$10="no",BJ29,BO29)=0,NA(),IF(Funds!$J$10="no",BJ29,BO29))</f>
        <v>#N/A</v>
      </c>
      <c r="BF29" s="273" t="e">
        <f>IF(IF(Funds!$J$10="no",BK29,BP29)=0,NA(),IF(Funds!$J$10="no",BK29,BP29))</f>
        <v>#N/A</v>
      </c>
      <c r="BG29" s="274">
        <f ca="1">Funds!$R$34</f>
        <v>2.5919346055080732</v>
      </c>
      <c r="BH29" s="274">
        <f ca="1">Funds!$R$36</f>
        <v>1.3378677483181089E-2</v>
      </c>
      <c r="BI29" s="274">
        <f ca="1">Funds!$R$38</f>
        <v>-0.15972963753204919</v>
      </c>
      <c r="BJ29" s="274">
        <f ca="1">Funds!$R$40</f>
        <v>-0.16887551350866659</v>
      </c>
      <c r="BK29" s="274">
        <f ca="1">Funds!$R$42</f>
        <v>-1.9222891726906419</v>
      </c>
      <c r="BL29" s="154"/>
      <c r="BN29" s="154"/>
      <c r="BP29" s="154"/>
      <c r="BR29" s="154" t="s">
        <v>57</v>
      </c>
      <c r="BS29" s="158">
        <v>-0.32726929999999999</v>
      </c>
      <c r="BT29" s="154"/>
      <c r="BU29" s="154"/>
      <c r="BX29" s="154"/>
      <c r="BZ29" s="154"/>
      <c r="CA29" s="154"/>
      <c r="CB29" s="154"/>
      <c r="CE29" s="154"/>
      <c r="CG29" s="218"/>
      <c r="CH29" s="154" t="s">
        <v>56</v>
      </c>
      <c r="CI29" s="158">
        <v>-0.3208685</v>
      </c>
      <c r="CJ29" s="153" t="str">
        <f t="shared" si="16"/>
        <v>Croatia</v>
      </c>
      <c r="CK29" s="154" t="s">
        <v>56</v>
      </c>
      <c r="CL29" s="158">
        <v>-0.28497790000000001</v>
      </c>
      <c r="CM29" s="153" t="str">
        <f t="shared" si="17"/>
        <v>Croatia</v>
      </c>
      <c r="CN29" s="154"/>
      <c r="CO29" s="209" t="s">
        <v>59</v>
      </c>
      <c r="CP29" s="157">
        <v>-0.66874219999999995</v>
      </c>
      <c r="CQ29" s="210"/>
      <c r="CR29" s="209" t="s">
        <v>59</v>
      </c>
      <c r="CS29" s="158">
        <v>-0.51204810000000001</v>
      </c>
      <c r="CT29" s="154"/>
    </row>
    <row r="30" spans="1:98">
      <c r="F30" s="421">
        <v>41060</v>
      </c>
      <c r="G30" s="272">
        <f>BMG!F30</f>
        <v>-6.9093999999999996E-3</v>
      </c>
      <c r="H30" s="272"/>
      <c r="I30" s="272"/>
      <c r="J30" s="272"/>
      <c r="K30" s="272"/>
      <c r="L30" s="272"/>
      <c r="M30" s="272"/>
      <c r="N30" s="272">
        <f t="shared" si="15"/>
        <v>4.3835822957272397E-2</v>
      </c>
      <c r="O30" s="272"/>
      <c r="P30" s="421">
        <v>41060</v>
      </c>
      <c r="Q30" s="154">
        <f>HLOOKUP(Q$1,'Asset Returns'!$F$1:$N$109,ROW(),0)</f>
        <v>-0.30935710668563843</v>
      </c>
      <c r="R30" s="154">
        <f>HLOOKUP(R$1,'Asset Returns'!$F$1:$N$109,ROW(),0)</f>
        <v>-6.3505865633487701E-2</v>
      </c>
      <c r="S30" s="154">
        <f>HLOOKUP(S$1,'Asset Returns'!$F$1:$N$109,ROW(),0)</f>
        <v>-0.14825321733951569</v>
      </c>
      <c r="T30" s="154">
        <f>HLOOKUP(T$1,'Asset Returns'!$F$1:$N$109,ROW(),0)</f>
        <v>-6.4646050333976746E-2</v>
      </c>
      <c r="U30" s="154">
        <f>HLOOKUP(U$1,'Asset Returns'!$F$1:$N$109,ROW(),0)</f>
        <v>-7.4615649878978729E-2</v>
      </c>
      <c r="V30" s="273" t="e">
        <f>IF(IF(Equity!$J$10="no",AA30,AF30)=0,NA(),IF(Equity!$J$10="no",AA30,AF30))</f>
        <v>#N/A</v>
      </c>
      <c r="W30" s="273" t="e">
        <f>IF(IF(Equity!$J$10="no",AB30,AG30)=0,NA(),IF(Equity!$J$10="no",AB30,AG30))</f>
        <v>#N/A</v>
      </c>
      <c r="X30" s="273" t="e">
        <f>IF(IF(Equity!$J$10="no",AC30,AH30)=0,NA(),IF(Equity!$J$10="no",AC30,AH30))</f>
        <v>#N/A</v>
      </c>
      <c r="Y30" s="273" t="e">
        <f>IF(IF(Equity!$J$10="no",AD30,AI30)=0,NA(),IF(Equity!$J$10="no",AD30,AI30))</f>
        <v>#N/A</v>
      </c>
      <c r="Z30" s="273" t="e">
        <f>IF(IF(Equity!$J$10="no",AE30,AJ30)=0,NA(),IF(Equity!$J$10="no",AE30,AJ30))</f>
        <v>#N/A</v>
      </c>
      <c r="AA30" s="274">
        <f ca="1">Equity!$R$34</f>
        <v>0.64097224418739052</v>
      </c>
      <c r="AB30" s="274">
        <f ca="1">Equity!$R$36</f>
        <v>-0.78557102570241866</v>
      </c>
      <c r="AC30" s="274">
        <f ca="1">Equity!$R$38</f>
        <v>0.9378377404978776</v>
      </c>
      <c r="AD30" s="274">
        <f ca="1">Equity!$R$40</f>
        <v>0.17519882647973573</v>
      </c>
      <c r="AE30" s="274">
        <f ca="1">Equity!$R$42</f>
        <v>7.3760094442444454E-2</v>
      </c>
      <c r="AF30" s="154"/>
      <c r="AH30" s="154"/>
      <c r="AJ30" s="154"/>
      <c r="AK30" s="154"/>
      <c r="AL30" s="421">
        <v>41060</v>
      </c>
      <c r="AM30" s="154">
        <f>HLOOKUP(AM$1,'Asset Returns'!$F$1:$ZS$109,ROW(),0)</f>
        <v>4.5324417766520186E-2</v>
      </c>
      <c r="AN30" s="154">
        <f>HLOOKUP(AN$1,'Asset Returns'!$F$1:$ZS$109,ROW(),0)</f>
        <v>9.0694346887276067E-2</v>
      </c>
      <c r="AO30" s="273">
        <f ca="1">IF(IF(Bonds!$J$10="no",AQ30,AS30)=0,NA(),IF(Bonds!$J$10="no",AQ30,AS30))</f>
        <v>-0.12498736259259137</v>
      </c>
      <c r="AP30" s="273">
        <f ca="1">IF(IF(Bonds!$J$10="no",AR30,AT30)=0,NA(),IF(Bonds!$J$10="no",AR30,AT30))</f>
        <v>0.19970923689173462</v>
      </c>
      <c r="AQ30" s="273">
        <f ca="1">Bonds!$P$32</f>
        <v>-0.12498736259259137</v>
      </c>
      <c r="AR30" s="273">
        <f ca="1">Bonds!$P$34</f>
        <v>0.19970923689173462</v>
      </c>
      <c r="AS30" s="154"/>
      <c r="AU30" s="154"/>
      <c r="AV30" s="421">
        <v>41060</v>
      </c>
      <c r="AW30" s="154">
        <f>HLOOKUP(AW$1,'Asset Returns'!$F$1:$ZS$109,ROW(),0)</f>
        <v>-0.12890309999999999</v>
      </c>
      <c r="AX30" s="154">
        <f>HLOOKUP(AX$1,'Asset Returns'!$F$1:$ZS$109,ROW(),0)</f>
        <v>-8.5639199999999999E-2</v>
      </c>
      <c r="AY30" s="154">
        <f>HLOOKUP(AY$1,'Asset Returns'!$F$1:$ZS$109,ROW(),0)</f>
        <v>-0.11961406000000001</v>
      </c>
      <c r="AZ30" s="154">
        <f>HLOOKUP(AZ$1,'Asset Returns'!$F$1:$ZS$109,ROW(),0)</f>
        <v>-8.7014220000000003E-2</v>
      </c>
      <c r="BA30" s="154">
        <f>HLOOKUP(BA$1,'Asset Returns'!$F$1:$ZS$109,ROW(),0)</f>
        <v>0.237543</v>
      </c>
      <c r="BB30" s="273" t="e">
        <f>IF(IF(Funds!$J$10="no",BG30,BL30)=0,NA(),IF(Funds!$J$10="no",BG30,BL30))</f>
        <v>#N/A</v>
      </c>
      <c r="BC30" s="273" t="e">
        <f>IF(IF(Funds!$J$10="no",BH30,BM30)=0,NA(),IF(Funds!$J$10="no",BH30,BM30))</f>
        <v>#N/A</v>
      </c>
      <c r="BD30" s="273" t="e">
        <f>IF(IF(Funds!$J$10="no",BI30,BN30)=0,NA(),IF(Funds!$J$10="no",BI30,BN30))</f>
        <v>#N/A</v>
      </c>
      <c r="BE30" s="273" t="e">
        <f>IF(IF(Funds!$J$10="no",BJ30,BO30)=0,NA(),IF(Funds!$J$10="no",BJ30,BO30))</f>
        <v>#N/A</v>
      </c>
      <c r="BF30" s="273" t="e">
        <f>IF(IF(Funds!$J$10="no",BK30,BP30)=0,NA(),IF(Funds!$J$10="no",BK30,BP30))</f>
        <v>#N/A</v>
      </c>
      <c r="BG30" s="274">
        <f ca="1">Funds!$R$34</f>
        <v>2.5919346055080732</v>
      </c>
      <c r="BH30" s="274">
        <f ca="1">Funds!$R$36</f>
        <v>1.3378677483181089E-2</v>
      </c>
      <c r="BI30" s="274">
        <f ca="1">Funds!$R$38</f>
        <v>-0.15972963753204919</v>
      </c>
      <c r="BJ30" s="274">
        <f ca="1">Funds!$R$40</f>
        <v>-0.16887551350866659</v>
      </c>
      <c r="BK30" s="274">
        <f ca="1">Funds!$R$42</f>
        <v>-1.9222891726906419</v>
      </c>
      <c r="BL30" s="154"/>
      <c r="BN30" s="154"/>
      <c r="BP30" s="154"/>
      <c r="BR30" s="154" t="s">
        <v>58</v>
      </c>
      <c r="BS30" s="158">
        <v>0.1655305</v>
      </c>
      <c r="BT30" s="154"/>
      <c r="BU30" s="154"/>
      <c r="BX30" s="154"/>
      <c r="BZ30" s="154"/>
      <c r="CA30" s="154"/>
      <c r="CB30" s="154"/>
      <c r="CE30" s="154"/>
      <c r="CG30" s="218"/>
      <c r="CH30" s="154" t="s">
        <v>57</v>
      </c>
      <c r="CI30" s="158">
        <v>-0.70621820000000002</v>
      </c>
      <c r="CJ30" s="153" t="str">
        <f t="shared" si="16"/>
        <v>Hungary</v>
      </c>
      <c r="CK30" s="153" t="s">
        <v>57</v>
      </c>
      <c r="CL30" s="158">
        <v>-0.47554479999999999</v>
      </c>
      <c r="CM30" s="153" t="str">
        <f t="shared" si="17"/>
        <v>Hungary</v>
      </c>
      <c r="CN30" s="154"/>
      <c r="CO30" s="209" t="s">
        <v>60</v>
      </c>
      <c r="CP30" s="157">
        <v>-0.14766299999999999</v>
      </c>
      <c r="CQ30" s="210"/>
      <c r="CR30" s="209" t="s">
        <v>60</v>
      </c>
      <c r="CS30" s="158">
        <v>-0.16257759999999999</v>
      </c>
      <c r="CT30" s="154"/>
    </row>
    <row r="31" spans="1:98">
      <c r="F31" s="421">
        <v>41090</v>
      </c>
      <c r="G31" s="272">
        <f>BMG!F31</f>
        <v>-4.0228E-3</v>
      </c>
      <c r="H31" s="272"/>
      <c r="I31" s="272"/>
      <c r="J31" s="272"/>
      <c r="K31" s="272"/>
      <c r="L31" s="272"/>
      <c r="M31" s="272"/>
      <c r="N31" s="272">
        <f t="shared" si="15"/>
        <v>3.9636680208679831E-2</v>
      </c>
      <c r="O31" s="272"/>
      <c r="P31" s="421">
        <v>41090</v>
      </c>
      <c r="Q31" s="154">
        <f>HLOOKUP(Q$1,'Asset Returns'!$F$1:$N$109,ROW(),0)</f>
        <v>4.6568471938371658E-2</v>
      </c>
      <c r="R31" s="154">
        <f>HLOOKUP(R$1,'Asset Returns'!$F$1:$N$109,ROW(),0)</f>
        <v>3.1259678304195404E-2</v>
      </c>
      <c r="S31" s="154">
        <f>HLOOKUP(S$1,'Asset Returns'!$F$1:$N$109,ROW(),0)</f>
        <v>8.8843688368797302E-2</v>
      </c>
      <c r="T31" s="154">
        <f>HLOOKUP(T$1,'Asset Returns'!$F$1:$N$109,ROW(),0)</f>
        <v>1.3893205672502518E-2</v>
      </c>
      <c r="U31" s="154">
        <f>HLOOKUP(U$1,'Asset Returns'!$F$1:$N$109,ROW(),0)</f>
        <v>4.2512077838182449E-2</v>
      </c>
      <c r="V31" s="273" t="e">
        <f>IF(IF(Equity!$J$10="no",AA31,AF31)=0,NA(),IF(Equity!$J$10="no",AA31,AF31))</f>
        <v>#N/A</v>
      </c>
      <c r="W31" s="273" t="e">
        <f>IF(IF(Equity!$J$10="no",AB31,AG31)=0,NA(),IF(Equity!$J$10="no",AB31,AG31))</f>
        <v>#N/A</v>
      </c>
      <c r="X31" s="273" t="e">
        <f>IF(IF(Equity!$J$10="no",AC31,AH31)=0,NA(),IF(Equity!$J$10="no",AC31,AH31))</f>
        <v>#N/A</v>
      </c>
      <c r="Y31" s="273" t="e">
        <f>IF(IF(Equity!$J$10="no",AD31,AI31)=0,NA(),IF(Equity!$J$10="no",AD31,AI31))</f>
        <v>#N/A</v>
      </c>
      <c r="Z31" s="273" t="e">
        <f>IF(IF(Equity!$J$10="no",AE31,AJ31)=0,NA(),IF(Equity!$J$10="no",AE31,AJ31))</f>
        <v>#N/A</v>
      </c>
      <c r="AA31" s="274">
        <f ca="1">Equity!$R$34</f>
        <v>0.64097224418739052</v>
      </c>
      <c r="AB31" s="274">
        <f ca="1">Equity!$R$36</f>
        <v>-0.78557102570241866</v>
      </c>
      <c r="AC31" s="274">
        <f ca="1">Equity!$R$38</f>
        <v>0.9378377404978776</v>
      </c>
      <c r="AD31" s="274">
        <f ca="1">Equity!$R$40</f>
        <v>0.17519882647973573</v>
      </c>
      <c r="AE31" s="274">
        <f ca="1">Equity!$R$42</f>
        <v>7.3760094442444454E-2</v>
      </c>
      <c r="AF31" s="154"/>
      <c r="AH31" s="154"/>
      <c r="AJ31" s="154"/>
      <c r="AK31" s="154"/>
      <c r="AL31" s="421">
        <v>41090</v>
      </c>
      <c r="AM31" s="154">
        <f>HLOOKUP(AM$1,'Asset Returns'!$F$1:$ZS$109,ROW(),0)</f>
        <v>-9.6223893912181779E-3</v>
      </c>
      <c r="AN31" s="154">
        <f>HLOOKUP(AN$1,'Asset Returns'!$F$1:$ZS$109,ROW(),0)</f>
        <v>-2.170055241239166E-2</v>
      </c>
      <c r="AO31" s="273">
        <f ca="1">IF(IF(Bonds!$J$10="no",AQ31,AS31)=0,NA(),IF(Bonds!$J$10="no",AQ31,AS31))</f>
        <v>-0.12498736259259137</v>
      </c>
      <c r="AP31" s="273">
        <f ca="1">IF(IF(Bonds!$J$10="no",AR31,AT31)=0,NA(),IF(Bonds!$J$10="no",AR31,AT31))</f>
        <v>0.19970923689173462</v>
      </c>
      <c r="AQ31" s="273">
        <f ca="1">Bonds!$P$32</f>
        <v>-0.12498736259259137</v>
      </c>
      <c r="AR31" s="273">
        <f ca="1">Bonds!$P$34</f>
        <v>0.19970923689173462</v>
      </c>
      <c r="AS31" s="154"/>
      <c r="AU31" s="154"/>
      <c r="AV31" s="421">
        <v>41090</v>
      </c>
      <c r="AW31" s="154">
        <f>HLOOKUP(AW$1,'Asset Returns'!$F$1:$ZS$109,ROW(),0)</f>
        <v>-9.1912000000000001E-3</v>
      </c>
      <c r="AX31" s="154">
        <f>HLOOKUP(AX$1,'Asset Returns'!$F$1:$ZS$109,ROW(),0)</f>
        <v>5.1052400000000005E-2</v>
      </c>
      <c r="AY31" s="154">
        <f>HLOOKUP(AY$1,'Asset Returns'!$F$1:$ZS$109,ROW(),0)</f>
        <v>3.4340660000000002E-2</v>
      </c>
      <c r="AZ31" s="154">
        <f>HLOOKUP(AZ$1,'Asset Returns'!$F$1:$ZS$109,ROW(),0)</f>
        <v>3.8080860000000001E-2</v>
      </c>
      <c r="BA31" s="154">
        <f>HLOOKUP(BA$1,'Asset Returns'!$F$1:$ZS$109,ROW(),0)</f>
        <v>-0.11905590000000001</v>
      </c>
      <c r="BB31" s="273" t="e">
        <f>IF(IF(Funds!$J$10="no",BG31,BL31)=0,NA(),IF(Funds!$J$10="no",BG31,BL31))</f>
        <v>#N/A</v>
      </c>
      <c r="BC31" s="273" t="e">
        <f>IF(IF(Funds!$J$10="no",BH31,BM31)=0,NA(),IF(Funds!$J$10="no",BH31,BM31))</f>
        <v>#N/A</v>
      </c>
      <c r="BD31" s="273" t="e">
        <f>IF(IF(Funds!$J$10="no",BI31,BN31)=0,NA(),IF(Funds!$J$10="no",BI31,BN31))</f>
        <v>#N/A</v>
      </c>
      <c r="BE31" s="273" t="e">
        <f>IF(IF(Funds!$J$10="no",BJ31,BO31)=0,NA(),IF(Funds!$J$10="no",BJ31,BO31))</f>
        <v>#N/A</v>
      </c>
      <c r="BF31" s="273" t="e">
        <f>IF(IF(Funds!$J$10="no",BK31,BP31)=0,NA(),IF(Funds!$J$10="no",BK31,BP31))</f>
        <v>#N/A</v>
      </c>
      <c r="BG31" s="274">
        <f ca="1">Funds!$R$34</f>
        <v>2.5919346055080732</v>
      </c>
      <c r="BH31" s="274">
        <f ca="1">Funds!$R$36</f>
        <v>1.3378677483181089E-2</v>
      </c>
      <c r="BI31" s="274">
        <f ca="1">Funds!$R$38</f>
        <v>-0.15972963753204919</v>
      </c>
      <c r="BJ31" s="274">
        <f ca="1">Funds!$R$40</f>
        <v>-0.16887551350866659</v>
      </c>
      <c r="BK31" s="274">
        <f ca="1">Funds!$R$42</f>
        <v>-1.9222891726906419</v>
      </c>
      <c r="BL31" s="154"/>
      <c r="BN31" s="154"/>
      <c r="BP31" s="154"/>
      <c r="BR31" s="154" t="s">
        <v>59</v>
      </c>
      <c r="BS31" s="158">
        <v>-0.29601569999999999</v>
      </c>
      <c r="BT31" s="154"/>
      <c r="BU31" s="154"/>
      <c r="BX31" s="154"/>
      <c r="BZ31" s="154"/>
      <c r="CA31" s="154"/>
      <c r="CB31" s="154"/>
      <c r="CE31" s="154"/>
      <c r="CG31" s="218"/>
      <c r="CH31" s="154" t="s">
        <v>62</v>
      </c>
      <c r="CI31" s="158">
        <v>-0.27785159999999998</v>
      </c>
      <c r="CJ31" s="153" t="str">
        <f t="shared" si="16"/>
        <v>Iceland</v>
      </c>
      <c r="CK31" s="153" t="s">
        <v>62</v>
      </c>
      <c r="CL31" s="158">
        <v>-0.26873950000000002</v>
      </c>
      <c r="CM31" s="153" t="str">
        <f t="shared" si="17"/>
        <v>Iceland</v>
      </c>
      <c r="CN31" s="154"/>
      <c r="CO31" s="209" t="s">
        <v>63</v>
      </c>
      <c r="CP31" s="157">
        <v>-1.051145</v>
      </c>
      <c r="CQ31" s="210"/>
      <c r="CR31" s="209" t="s">
        <v>63</v>
      </c>
      <c r="CS31" s="158">
        <v>-0.85338789999999998</v>
      </c>
      <c r="CT31" s="154"/>
    </row>
    <row r="32" spans="1:98">
      <c r="F32" s="421">
        <v>41121</v>
      </c>
      <c r="G32" s="272">
        <f>BMG!F32</f>
        <v>1.8383699999999999E-2</v>
      </c>
      <c r="H32" s="272"/>
      <c r="I32" s="272"/>
      <c r="J32" s="272"/>
      <c r="K32" s="272"/>
      <c r="L32" s="272"/>
      <c r="M32" s="272"/>
      <c r="N32" s="272">
        <f t="shared" si="15"/>
        <v>5.8749049046632251E-2</v>
      </c>
      <c r="O32" s="272"/>
      <c r="P32" s="421">
        <v>41121</v>
      </c>
      <c r="Q32" s="154">
        <f>HLOOKUP(Q$1,'Asset Returns'!$F$1:$N$109,ROW(),0)</f>
        <v>-4.621577262878418E-2</v>
      </c>
      <c r="R32" s="154">
        <f>HLOOKUP(R$1,'Asset Returns'!$F$1:$N$109,ROW(),0)</f>
        <v>-3.2811865210533142E-2</v>
      </c>
      <c r="S32" s="154">
        <f>HLOOKUP(S$1,'Asset Returns'!$F$1:$N$109,ROW(),0)</f>
        <v>6.2893559224903584E-3</v>
      </c>
      <c r="T32" s="154">
        <f>HLOOKUP(T$1,'Asset Returns'!$F$1:$N$109,ROW(),0)</f>
        <v>2.0452027674764395E-3</v>
      </c>
      <c r="U32" s="154">
        <f>HLOOKUP(U$1,'Asset Returns'!$F$1:$N$109,ROW(),0)</f>
        <v>-4.6030275523662567E-2</v>
      </c>
      <c r="V32" s="273" t="e">
        <f>IF(IF(Equity!$J$10="no",AA32,AF32)=0,NA(),IF(Equity!$J$10="no",AA32,AF32))</f>
        <v>#N/A</v>
      </c>
      <c r="W32" s="273" t="e">
        <f>IF(IF(Equity!$J$10="no",AB32,AG32)=0,NA(),IF(Equity!$J$10="no",AB32,AG32))</f>
        <v>#N/A</v>
      </c>
      <c r="X32" s="273" t="e">
        <f>IF(IF(Equity!$J$10="no",AC32,AH32)=0,NA(),IF(Equity!$J$10="no",AC32,AH32))</f>
        <v>#N/A</v>
      </c>
      <c r="Y32" s="273" t="e">
        <f>IF(IF(Equity!$J$10="no",AD32,AI32)=0,NA(),IF(Equity!$J$10="no",AD32,AI32))</f>
        <v>#N/A</v>
      </c>
      <c r="Z32" s="273" t="e">
        <f>IF(IF(Equity!$J$10="no",AE32,AJ32)=0,NA(),IF(Equity!$J$10="no",AE32,AJ32))</f>
        <v>#N/A</v>
      </c>
      <c r="AA32" s="274">
        <f ca="1">Equity!$R$34</f>
        <v>0.64097224418739052</v>
      </c>
      <c r="AB32" s="274">
        <f ca="1">Equity!$R$36</f>
        <v>-0.78557102570241866</v>
      </c>
      <c r="AC32" s="274">
        <f ca="1">Equity!$R$38</f>
        <v>0.9378377404978776</v>
      </c>
      <c r="AD32" s="274">
        <f ca="1">Equity!$R$40</f>
        <v>0.17519882647973573</v>
      </c>
      <c r="AE32" s="274">
        <f ca="1">Equity!$R$42</f>
        <v>7.3760094442444454E-2</v>
      </c>
      <c r="AF32" s="154"/>
      <c r="AH32" s="154"/>
      <c r="AJ32" s="154"/>
      <c r="AK32" s="154"/>
      <c r="AL32" s="421">
        <v>41121</v>
      </c>
      <c r="AM32" s="154">
        <f>HLOOKUP(AM$1,'Asset Returns'!$F$1:$ZS$109,ROW(),0)</f>
        <v>2.1296263516676239E-2</v>
      </c>
      <c r="AN32" s="154">
        <f>HLOOKUP(AN$1,'Asset Returns'!$F$1:$ZS$109,ROW(),0)</f>
        <v>2.7180034816191023E-2</v>
      </c>
      <c r="AO32" s="273">
        <f ca="1">IF(IF(Bonds!$J$10="no",AQ32,AS32)=0,NA(),IF(Bonds!$J$10="no",AQ32,AS32))</f>
        <v>-0.12498736259259137</v>
      </c>
      <c r="AP32" s="273">
        <f ca="1">IF(IF(Bonds!$J$10="no",AR32,AT32)=0,NA(),IF(Bonds!$J$10="no",AR32,AT32))</f>
        <v>0.19970923689173462</v>
      </c>
      <c r="AQ32" s="273">
        <f ca="1">Bonds!$P$32</f>
        <v>-0.12498736259259137</v>
      </c>
      <c r="AR32" s="273">
        <f ca="1">Bonds!$P$34</f>
        <v>0.19970923689173462</v>
      </c>
      <c r="AS32" s="154"/>
      <c r="AU32" s="154"/>
      <c r="AV32" s="421">
        <v>41121</v>
      </c>
      <c r="AW32" s="154">
        <f>HLOOKUP(AW$1,'Asset Returns'!$F$1:$ZS$109,ROW(),0)</f>
        <v>0</v>
      </c>
      <c r="AX32" s="154">
        <f>HLOOKUP(AX$1,'Asset Returns'!$F$1:$ZS$109,ROW(),0)</f>
        <v>1.2719299999999999E-2</v>
      </c>
      <c r="AY32" s="154">
        <f>HLOOKUP(AY$1,'Asset Returns'!$F$1:$ZS$109,ROW(),0)</f>
        <v>3.6777480000000001E-2</v>
      </c>
      <c r="AZ32" s="154">
        <f>HLOOKUP(AZ$1,'Asset Returns'!$F$1:$ZS$109,ROW(),0)</f>
        <v>-1.31298E-3</v>
      </c>
      <c r="BA32" s="154">
        <f>HLOOKUP(BA$1,'Asset Returns'!$F$1:$ZS$109,ROW(),0)</f>
        <v>-8.8652499999999995E-2</v>
      </c>
      <c r="BB32" s="273" t="e">
        <f>IF(IF(Funds!$J$10="no",BG32,BL32)=0,NA(),IF(Funds!$J$10="no",BG32,BL32))</f>
        <v>#N/A</v>
      </c>
      <c r="BC32" s="273" t="e">
        <f>IF(IF(Funds!$J$10="no",BH32,BM32)=0,NA(),IF(Funds!$J$10="no",BH32,BM32))</f>
        <v>#N/A</v>
      </c>
      <c r="BD32" s="273" t="e">
        <f>IF(IF(Funds!$J$10="no",BI32,BN32)=0,NA(),IF(Funds!$J$10="no",BI32,BN32))</f>
        <v>#N/A</v>
      </c>
      <c r="BE32" s="273" t="e">
        <f>IF(IF(Funds!$J$10="no",BJ32,BO32)=0,NA(),IF(Funds!$J$10="no",BJ32,BO32))</f>
        <v>#N/A</v>
      </c>
      <c r="BF32" s="273" t="e">
        <f>IF(IF(Funds!$J$10="no",BK32,BP32)=0,NA(),IF(Funds!$J$10="no",BK32,BP32))</f>
        <v>#N/A</v>
      </c>
      <c r="BG32" s="274">
        <f ca="1">Funds!$R$34</f>
        <v>2.5919346055080732</v>
      </c>
      <c r="BH32" s="274">
        <f ca="1">Funds!$R$36</f>
        <v>1.3378677483181089E-2</v>
      </c>
      <c r="BI32" s="274">
        <f ca="1">Funds!$R$38</f>
        <v>-0.15972963753204919</v>
      </c>
      <c r="BJ32" s="274">
        <f ca="1">Funds!$R$40</f>
        <v>-0.16887551350866659</v>
      </c>
      <c r="BK32" s="274">
        <f ca="1">Funds!$R$42</f>
        <v>-1.9222891726906419</v>
      </c>
      <c r="BL32" s="154"/>
      <c r="BN32" s="154"/>
      <c r="BP32" s="154"/>
      <c r="BR32" s="154" t="s">
        <v>60</v>
      </c>
      <c r="BS32" s="158">
        <v>-9.9263699999999996E-2</v>
      </c>
      <c r="BT32" s="154"/>
      <c r="BU32" s="154"/>
      <c r="BX32" s="154"/>
      <c r="BZ32" s="154"/>
      <c r="CA32" s="154"/>
      <c r="CB32" s="154"/>
      <c r="CE32" s="154"/>
      <c r="CG32" s="218"/>
      <c r="CH32" s="154" t="s">
        <v>61</v>
      </c>
      <c r="CI32" s="158">
        <v>0.1957421</v>
      </c>
      <c r="CJ32" s="153" t="str">
        <f t="shared" si="16"/>
        <v>India</v>
      </c>
      <c r="CK32" s="153" t="s">
        <v>61</v>
      </c>
      <c r="CL32" s="158">
        <v>0.13744120000000001</v>
      </c>
      <c r="CM32" s="153" t="str">
        <f t="shared" si="17"/>
        <v>India</v>
      </c>
      <c r="CN32" s="154"/>
      <c r="CO32" s="209" t="s">
        <v>64</v>
      </c>
      <c r="CP32" s="157">
        <v>-2.4988199999999999E-2</v>
      </c>
      <c r="CQ32" s="210"/>
      <c r="CR32" s="209" t="s">
        <v>64</v>
      </c>
      <c r="CS32" s="158">
        <v>-0.13541800000000001</v>
      </c>
      <c r="CT32" s="154"/>
    </row>
    <row r="33" spans="6:98">
      <c r="F33" s="421">
        <v>41152</v>
      </c>
      <c r="G33" s="272">
        <f>BMG!F33</f>
        <v>-1.78929E-2</v>
      </c>
      <c r="H33" s="272"/>
      <c r="I33" s="272"/>
      <c r="J33" s="272"/>
      <c r="K33" s="272"/>
      <c r="L33" s="272"/>
      <c r="M33" s="272"/>
      <c r="N33" s="272">
        <f t="shared" si="15"/>
        <v>3.9804958186945738E-2</v>
      </c>
      <c r="O33" s="272"/>
      <c r="P33" s="421">
        <v>41152</v>
      </c>
      <c r="Q33" s="154">
        <f>HLOOKUP(Q$1,'Asset Returns'!$F$1:$N$109,ROW(),0)</f>
        <v>3.5294055938720703E-2</v>
      </c>
      <c r="R33" s="154">
        <f>HLOOKUP(R$1,'Asset Returns'!$F$1:$N$109,ROW(),0)</f>
        <v>2.2120842710137367E-2</v>
      </c>
      <c r="S33" s="154">
        <f>HLOOKUP(S$1,'Asset Returns'!$F$1:$N$109,ROW(),0)</f>
        <v>6.4242057502269745E-2</v>
      </c>
      <c r="T33" s="154">
        <f>HLOOKUP(T$1,'Asset Returns'!$F$1:$N$109,ROW(),0)</f>
        <v>-1.6198117518797517E-3</v>
      </c>
      <c r="U33" s="154">
        <f>HLOOKUP(U$1,'Asset Returns'!$F$1:$N$109,ROW(),0)</f>
        <v>1.2529534287750721E-2</v>
      </c>
      <c r="V33" s="273" t="e">
        <f>IF(IF(Equity!$J$10="no",AA33,AF33)=0,NA(),IF(Equity!$J$10="no",AA33,AF33))</f>
        <v>#N/A</v>
      </c>
      <c r="W33" s="273" t="e">
        <f>IF(IF(Equity!$J$10="no",AB33,AG33)=0,NA(),IF(Equity!$J$10="no",AB33,AG33))</f>
        <v>#N/A</v>
      </c>
      <c r="X33" s="273" t="e">
        <f>IF(IF(Equity!$J$10="no",AC33,AH33)=0,NA(),IF(Equity!$J$10="no",AC33,AH33))</f>
        <v>#N/A</v>
      </c>
      <c r="Y33" s="273" t="e">
        <f>IF(IF(Equity!$J$10="no",AD33,AI33)=0,NA(),IF(Equity!$J$10="no",AD33,AI33))</f>
        <v>#N/A</v>
      </c>
      <c r="Z33" s="273" t="e">
        <f>IF(IF(Equity!$J$10="no",AE33,AJ33)=0,NA(),IF(Equity!$J$10="no",AE33,AJ33))</f>
        <v>#N/A</v>
      </c>
      <c r="AA33" s="274">
        <f ca="1">Equity!$R$34</f>
        <v>0.64097224418739052</v>
      </c>
      <c r="AB33" s="274">
        <f ca="1">Equity!$R$36</f>
        <v>-0.78557102570241866</v>
      </c>
      <c r="AC33" s="274">
        <f ca="1">Equity!$R$38</f>
        <v>0.9378377404978776</v>
      </c>
      <c r="AD33" s="274">
        <f ca="1">Equity!$R$40</f>
        <v>0.17519882647973573</v>
      </c>
      <c r="AE33" s="274">
        <f ca="1">Equity!$R$42</f>
        <v>7.3760094442444454E-2</v>
      </c>
      <c r="AF33" s="154"/>
      <c r="AH33" s="154"/>
      <c r="AJ33" s="154"/>
      <c r="AK33" s="154"/>
      <c r="AL33" s="421">
        <v>41152</v>
      </c>
      <c r="AM33" s="154">
        <f>HLOOKUP(AM$1,'Asset Returns'!$F$1:$ZS$109,ROW(),0)</f>
        <v>-5.538501831403031E-3</v>
      </c>
      <c r="AN33" s="154">
        <f>HLOOKUP(AN$1,'Asset Returns'!$F$1:$ZS$109,ROW(),0)</f>
        <v>-8.5401920712457891E-3</v>
      </c>
      <c r="AO33" s="273">
        <f ca="1">IF(IF(Bonds!$J$10="no",AQ33,AS33)=0,NA(),IF(Bonds!$J$10="no",AQ33,AS33))</f>
        <v>-0.12498736259259137</v>
      </c>
      <c r="AP33" s="273">
        <f ca="1">IF(IF(Bonds!$J$10="no",AR33,AT33)=0,NA(),IF(Bonds!$J$10="no",AR33,AT33))</f>
        <v>0.19970923689173462</v>
      </c>
      <c r="AQ33" s="273">
        <f ca="1">Bonds!$P$32</f>
        <v>-0.12498736259259137</v>
      </c>
      <c r="AR33" s="273">
        <f ca="1">Bonds!$P$34</f>
        <v>0.19970923689173462</v>
      </c>
      <c r="AS33" s="154"/>
      <c r="AU33" s="154"/>
      <c r="AV33" s="421">
        <v>41152</v>
      </c>
      <c r="AW33" s="154">
        <f>HLOOKUP(AW$1,'Asset Returns'!$F$1:$ZS$109,ROW(),0)</f>
        <v>8.9053799999999989E-2</v>
      </c>
      <c r="AX33" s="154">
        <f>HLOOKUP(AX$1,'Asset Returns'!$F$1:$ZS$109,ROW(),0)</f>
        <v>2.50727E-2</v>
      </c>
      <c r="AY33" s="154">
        <f>HLOOKUP(AY$1,'Asset Returns'!$F$1:$ZS$109,ROW(),0)</f>
        <v>3.408684E-2</v>
      </c>
      <c r="AZ33" s="154">
        <f>HLOOKUP(AZ$1,'Asset Returns'!$F$1:$ZS$109,ROW(),0)</f>
        <v>4.1406770000000002E-2</v>
      </c>
      <c r="BA33" s="154">
        <f>HLOOKUP(BA$1,'Asset Returns'!$F$1:$ZS$109,ROW(),0)</f>
        <v>-5.3609999999999998E-2</v>
      </c>
      <c r="BB33" s="273" t="e">
        <f>IF(IF(Funds!$J$10="no",BG33,BL33)=0,NA(),IF(Funds!$J$10="no",BG33,BL33))</f>
        <v>#N/A</v>
      </c>
      <c r="BC33" s="273" t="e">
        <f>IF(IF(Funds!$J$10="no",BH33,BM33)=0,NA(),IF(Funds!$J$10="no",BH33,BM33))</f>
        <v>#N/A</v>
      </c>
      <c r="BD33" s="273" t="e">
        <f>IF(IF(Funds!$J$10="no",BI33,BN33)=0,NA(),IF(Funds!$J$10="no",BI33,BN33))</f>
        <v>#N/A</v>
      </c>
      <c r="BE33" s="273" t="e">
        <f>IF(IF(Funds!$J$10="no",BJ33,BO33)=0,NA(),IF(Funds!$J$10="no",BJ33,BO33))</f>
        <v>#N/A</v>
      </c>
      <c r="BF33" s="273" t="e">
        <f>IF(IF(Funds!$J$10="no",BK33,BP33)=0,NA(),IF(Funds!$J$10="no",BK33,BP33))</f>
        <v>#N/A</v>
      </c>
      <c r="BG33" s="274">
        <f ca="1">Funds!$R$34</f>
        <v>2.5919346055080732</v>
      </c>
      <c r="BH33" s="274">
        <f ca="1">Funds!$R$36</f>
        <v>1.3378677483181089E-2</v>
      </c>
      <c r="BI33" s="274">
        <f ca="1">Funds!$R$38</f>
        <v>-0.15972963753204919</v>
      </c>
      <c r="BJ33" s="274">
        <f ca="1">Funds!$R$40</f>
        <v>-0.16887551350866659</v>
      </c>
      <c r="BK33" s="274">
        <f ca="1">Funds!$R$42</f>
        <v>-1.9222891726906419</v>
      </c>
      <c r="BL33" s="154"/>
      <c r="BN33" s="154"/>
      <c r="BP33" s="154"/>
      <c r="BR33" s="154" t="s">
        <v>61</v>
      </c>
      <c r="BS33" s="158">
        <v>0.1545396</v>
      </c>
      <c r="BT33" s="154"/>
      <c r="BU33" s="154"/>
      <c r="BX33" s="154"/>
      <c r="BZ33" s="154"/>
      <c r="CA33" s="154"/>
      <c r="CB33" s="154"/>
      <c r="CE33" s="154"/>
      <c r="CG33" s="218"/>
      <c r="CH33" s="154" t="s">
        <v>58</v>
      </c>
      <c r="CI33" s="158">
        <v>0.1602797</v>
      </c>
      <c r="CJ33" s="153" t="str">
        <f t="shared" si="16"/>
        <v>Indonesia</v>
      </c>
      <c r="CK33" s="153" t="s">
        <v>58</v>
      </c>
      <c r="CL33" s="158">
        <v>0.12944700000000001</v>
      </c>
      <c r="CM33" s="153" t="str">
        <f t="shared" si="17"/>
        <v>Indonesia</v>
      </c>
      <c r="CN33" s="154"/>
      <c r="CO33" s="209" t="s">
        <v>66</v>
      </c>
      <c r="CP33" s="157">
        <v>-0.64926150000000005</v>
      </c>
      <c r="CQ33" s="210"/>
      <c r="CR33" s="209" t="s">
        <v>66</v>
      </c>
      <c r="CS33" s="158">
        <v>-0.65054109999999998</v>
      </c>
      <c r="CT33" s="154"/>
    </row>
    <row r="34" spans="6:98">
      <c r="F34" s="421">
        <v>41182</v>
      </c>
      <c r="G34" s="272">
        <f>BMG!F34</f>
        <v>1.07945E-2</v>
      </c>
      <c r="H34" s="272"/>
      <c r="I34" s="272"/>
      <c r="J34" s="272"/>
      <c r="K34" s="272"/>
      <c r="L34" s="272"/>
      <c r="M34" s="272"/>
      <c r="N34" s="272">
        <f t="shared" si="15"/>
        <v>5.1029132808094735E-2</v>
      </c>
      <c r="O34" s="272"/>
      <c r="P34" s="421">
        <v>41182</v>
      </c>
      <c r="Q34" s="154">
        <f>HLOOKUP(Q$1,'Asset Returns'!$F$1:$N$109,ROW(),0)</f>
        <v>0.2041642963886261</v>
      </c>
      <c r="R34" s="154">
        <f>HLOOKUP(R$1,'Asset Returns'!$F$1:$N$109,ROW(),0)</f>
        <v>-1.990574412047863E-3</v>
      </c>
      <c r="S34" s="154">
        <f>HLOOKUP(S$1,'Asset Returns'!$F$1:$N$109,ROW(),0)</f>
        <v>5.3766686469316483E-3</v>
      </c>
      <c r="T34" s="154">
        <f>HLOOKUP(T$1,'Asset Returns'!$F$1:$N$109,ROW(),0)</f>
        <v>6.4565129578113556E-2</v>
      </c>
      <c r="U34" s="154">
        <f>HLOOKUP(U$1,'Asset Returns'!$F$1:$N$109,ROW(),0)</f>
        <v>3.7156153470277786E-2</v>
      </c>
      <c r="V34" s="273" t="e">
        <f>IF(IF(Equity!$J$10="no",AA34,AF34)=0,NA(),IF(Equity!$J$10="no",AA34,AF34))</f>
        <v>#N/A</v>
      </c>
      <c r="W34" s="273" t="e">
        <f>IF(IF(Equity!$J$10="no",AB34,AG34)=0,NA(),IF(Equity!$J$10="no",AB34,AG34))</f>
        <v>#N/A</v>
      </c>
      <c r="X34" s="273" t="e">
        <f>IF(IF(Equity!$J$10="no",AC34,AH34)=0,NA(),IF(Equity!$J$10="no",AC34,AH34))</f>
        <v>#N/A</v>
      </c>
      <c r="Y34" s="273" t="e">
        <f>IF(IF(Equity!$J$10="no",AD34,AI34)=0,NA(),IF(Equity!$J$10="no",AD34,AI34))</f>
        <v>#N/A</v>
      </c>
      <c r="Z34" s="273" t="e">
        <f>IF(IF(Equity!$J$10="no",AE34,AJ34)=0,NA(),IF(Equity!$J$10="no",AE34,AJ34))</f>
        <v>#N/A</v>
      </c>
      <c r="AA34" s="274">
        <f ca="1">Equity!$R$34</f>
        <v>0.64097224418739052</v>
      </c>
      <c r="AB34" s="274">
        <f ca="1">Equity!$R$36</f>
        <v>-0.78557102570241866</v>
      </c>
      <c r="AC34" s="274">
        <f ca="1">Equity!$R$38</f>
        <v>0.9378377404978776</v>
      </c>
      <c r="AD34" s="274">
        <f ca="1">Equity!$R$40</f>
        <v>0.17519882647973573</v>
      </c>
      <c r="AE34" s="274">
        <f ca="1">Equity!$R$42</f>
        <v>7.3760094442444454E-2</v>
      </c>
      <c r="AF34" s="154"/>
      <c r="AH34" s="154"/>
      <c r="AJ34" s="154"/>
      <c r="AK34" s="154"/>
      <c r="AL34" s="421">
        <v>41182</v>
      </c>
      <c r="AM34" s="154">
        <f>HLOOKUP(AM$1,'Asset Returns'!$F$1:$ZS$109,ROW(),0)</f>
        <v>2.7203823407526695E-2</v>
      </c>
      <c r="AN34" s="154">
        <f>HLOOKUP(AN$1,'Asset Returns'!$F$1:$ZS$109,ROW(),0)</f>
        <v>-2.1263861490433467E-2</v>
      </c>
      <c r="AO34" s="273">
        <f ca="1">IF(IF(Bonds!$J$10="no",AQ34,AS34)=0,NA(),IF(Bonds!$J$10="no",AQ34,AS34))</f>
        <v>-0.12498736259259137</v>
      </c>
      <c r="AP34" s="273">
        <f ca="1">IF(IF(Bonds!$J$10="no",AR34,AT34)=0,NA(),IF(Bonds!$J$10="no",AR34,AT34))</f>
        <v>0.19970923689173462</v>
      </c>
      <c r="AQ34" s="273">
        <f ca="1">Bonds!$P$32</f>
        <v>-0.12498736259259137</v>
      </c>
      <c r="AR34" s="273">
        <f ca="1">Bonds!$P$34</f>
        <v>0.19970923689173462</v>
      </c>
      <c r="AS34" s="154"/>
      <c r="AU34" s="154"/>
      <c r="AV34" s="421">
        <v>41182</v>
      </c>
      <c r="AW34" s="154">
        <f>HLOOKUP(AW$1,'Asset Returns'!$F$1:$ZS$109,ROW(),0)</f>
        <v>0.1379898</v>
      </c>
      <c r="AX34" s="154">
        <f>HLOOKUP(AX$1,'Asset Returns'!$F$1:$ZS$109,ROW(),0)</f>
        <v>2.7059099999999999E-2</v>
      </c>
      <c r="AY34" s="154">
        <f>HLOOKUP(AY$1,'Asset Returns'!$F$1:$ZS$109,ROW(),0)</f>
        <v>5.4213219999999999E-2</v>
      </c>
      <c r="AZ34" s="154">
        <f>HLOOKUP(AZ$1,'Asset Returns'!$F$1:$ZS$109,ROW(),0)</f>
        <v>3.163084E-2</v>
      </c>
      <c r="BA34" s="154">
        <f>HLOOKUP(BA$1,'Asset Returns'!$F$1:$ZS$109,ROW(),0)</f>
        <v>-6.9894899999999996E-2</v>
      </c>
      <c r="BB34" s="273" t="e">
        <f>IF(IF(Funds!$J$10="no",BG34,BL34)=0,NA(),IF(Funds!$J$10="no",BG34,BL34))</f>
        <v>#N/A</v>
      </c>
      <c r="BC34" s="273" t="e">
        <f>IF(IF(Funds!$J$10="no",BH34,BM34)=0,NA(),IF(Funds!$J$10="no",BH34,BM34))</f>
        <v>#N/A</v>
      </c>
      <c r="BD34" s="273" t="e">
        <f>IF(IF(Funds!$J$10="no",BI34,BN34)=0,NA(),IF(Funds!$J$10="no",BI34,BN34))</f>
        <v>#N/A</v>
      </c>
      <c r="BE34" s="273" t="e">
        <f>IF(IF(Funds!$J$10="no",BJ34,BO34)=0,NA(),IF(Funds!$J$10="no",BJ34,BO34))</f>
        <v>#N/A</v>
      </c>
      <c r="BF34" s="273" t="e">
        <f>IF(IF(Funds!$J$10="no",BK34,BP34)=0,NA(),IF(Funds!$J$10="no",BK34,BP34))</f>
        <v>#N/A</v>
      </c>
      <c r="BG34" s="274">
        <f ca="1">Funds!$R$34</f>
        <v>2.5919346055080732</v>
      </c>
      <c r="BH34" s="274">
        <f ca="1">Funds!$R$36</f>
        <v>1.3378677483181089E-2</v>
      </c>
      <c r="BI34" s="274">
        <f ca="1">Funds!$R$38</f>
        <v>-0.15972963753204919</v>
      </c>
      <c r="BJ34" s="274">
        <f ca="1">Funds!$R$40</f>
        <v>-0.16887551350866659</v>
      </c>
      <c r="BK34" s="274">
        <f ca="1">Funds!$R$42</f>
        <v>-1.9222891726906419</v>
      </c>
      <c r="BL34" s="154"/>
      <c r="BN34" s="154"/>
      <c r="BP34" s="154"/>
      <c r="BR34" s="154" t="s">
        <v>62</v>
      </c>
      <c r="BS34" s="158">
        <v>-0.2696808</v>
      </c>
      <c r="BT34" s="154"/>
      <c r="BU34" s="154"/>
      <c r="BX34" s="154"/>
      <c r="BZ34" s="154"/>
      <c r="CA34" s="154"/>
      <c r="CB34" s="154"/>
      <c r="CE34" s="154"/>
      <c r="CG34" s="218"/>
      <c r="CH34" s="154" t="s">
        <v>59</v>
      </c>
      <c r="CI34" s="158">
        <v>-0.66874219999999995</v>
      </c>
      <c r="CJ34" s="153" t="str">
        <f t="shared" si="16"/>
        <v>Ireland</v>
      </c>
      <c r="CK34" s="153" t="s">
        <v>59</v>
      </c>
      <c r="CL34" s="158">
        <v>-0.51204810000000001</v>
      </c>
      <c r="CM34" s="153" t="str">
        <f t="shared" si="17"/>
        <v>Ireland</v>
      </c>
      <c r="CN34" s="154"/>
      <c r="CO34" s="209" t="s">
        <v>65</v>
      </c>
      <c r="CP34" s="157">
        <v>-6.8683499999999995E-2</v>
      </c>
      <c r="CQ34" s="210"/>
      <c r="CR34" s="209" t="s">
        <v>65</v>
      </c>
      <c r="CS34" s="158">
        <v>-4.80907E-2</v>
      </c>
      <c r="CT34" s="154"/>
    </row>
    <row r="35" spans="6:98">
      <c r="F35" s="421">
        <v>41213</v>
      </c>
      <c r="G35" s="272">
        <f>BMG!F35</f>
        <v>4.6852999999999999E-3</v>
      </c>
      <c r="H35" s="272"/>
      <c r="I35" s="272"/>
      <c r="J35" s="272"/>
      <c r="K35" s="272"/>
      <c r="L35" s="272"/>
      <c r="M35" s="272"/>
      <c r="N35" s="272">
        <f t="shared" ref="N35:N66" si="25">(1+N34)*(1+G35)-1</f>
        <v>5.5953519604040602E-2</v>
      </c>
      <c r="O35" s="272"/>
      <c r="P35" s="421">
        <v>41213</v>
      </c>
      <c r="Q35" s="154">
        <f>HLOOKUP(Q$1,'Asset Returns'!$F$1:$N$109,ROW(),0)</f>
        <v>-6.6526353359222412E-2</v>
      </c>
      <c r="R35" s="154">
        <f>HLOOKUP(R$1,'Asset Returns'!$F$1:$N$109,ROW(),0)</f>
        <v>-1.8744880333542824E-2</v>
      </c>
      <c r="S35" s="154">
        <f>HLOOKUP(S$1,'Asset Returns'!$F$1:$N$109,ROW(),0)</f>
        <v>1.3122405856847763E-2</v>
      </c>
      <c r="T35" s="154">
        <f>HLOOKUP(T$1,'Asset Returns'!$F$1:$N$109,ROW(),0)</f>
        <v>-6.2380075454711914E-2</v>
      </c>
      <c r="U35" s="154">
        <f>HLOOKUP(U$1,'Asset Returns'!$F$1:$N$109,ROW(),0)</f>
        <v>4.8921119421720505E-2</v>
      </c>
      <c r="V35" s="273" t="e">
        <f>IF(IF(Equity!$J$10="no",AA35,AF35)=0,NA(),IF(Equity!$J$10="no",AA35,AF35))</f>
        <v>#N/A</v>
      </c>
      <c r="W35" s="273" t="e">
        <f>IF(IF(Equity!$J$10="no",AB35,AG35)=0,NA(),IF(Equity!$J$10="no",AB35,AG35))</f>
        <v>#N/A</v>
      </c>
      <c r="X35" s="273" t="e">
        <f>IF(IF(Equity!$J$10="no",AC35,AH35)=0,NA(),IF(Equity!$J$10="no",AC35,AH35))</f>
        <v>#N/A</v>
      </c>
      <c r="Y35" s="273" t="e">
        <f>IF(IF(Equity!$J$10="no",AD35,AI35)=0,NA(),IF(Equity!$J$10="no",AD35,AI35))</f>
        <v>#N/A</v>
      </c>
      <c r="Z35" s="273" t="e">
        <f>IF(IF(Equity!$J$10="no",AE35,AJ35)=0,NA(),IF(Equity!$J$10="no",AE35,AJ35))</f>
        <v>#N/A</v>
      </c>
      <c r="AA35" s="274">
        <f ca="1">Equity!$R$34</f>
        <v>0.64097224418739052</v>
      </c>
      <c r="AB35" s="274">
        <f ca="1">Equity!$R$36</f>
        <v>-0.78557102570241866</v>
      </c>
      <c r="AC35" s="274">
        <f ca="1">Equity!$R$38</f>
        <v>0.9378377404978776</v>
      </c>
      <c r="AD35" s="274">
        <f ca="1">Equity!$R$40</f>
        <v>0.17519882647973573</v>
      </c>
      <c r="AE35" s="274">
        <f ca="1">Equity!$R$42</f>
        <v>7.3760094442444454E-2</v>
      </c>
      <c r="AF35" s="154"/>
      <c r="AH35" s="154"/>
      <c r="AJ35" s="154"/>
      <c r="AK35" s="154"/>
      <c r="AL35" s="421">
        <v>41213</v>
      </c>
      <c r="AM35" s="154">
        <f>HLOOKUP(AM$1,'Asset Returns'!$F$1:$ZS$109,ROW(),0)</f>
        <v>1.0406337308603852E-3</v>
      </c>
      <c r="AN35" s="154">
        <f>HLOOKUP(AN$1,'Asset Returns'!$F$1:$ZS$109,ROW(),0)</f>
        <v>-4.4028941691087731E-5</v>
      </c>
      <c r="AO35" s="273">
        <f ca="1">IF(IF(Bonds!$J$10="no",AQ35,AS35)=0,NA(),IF(Bonds!$J$10="no",AQ35,AS35))</f>
        <v>-0.12498736259259137</v>
      </c>
      <c r="AP35" s="273">
        <f ca="1">IF(IF(Bonds!$J$10="no",AR35,AT35)=0,NA(),IF(Bonds!$J$10="no",AR35,AT35))</f>
        <v>0.19970923689173462</v>
      </c>
      <c r="AQ35" s="273">
        <f ca="1">Bonds!$P$32</f>
        <v>-0.12498736259259137</v>
      </c>
      <c r="AR35" s="273">
        <f ca="1">Bonds!$P$34</f>
        <v>0.19970923689173462</v>
      </c>
      <c r="AS35" s="154"/>
      <c r="AU35" s="154"/>
      <c r="AV35" s="421">
        <v>41213</v>
      </c>
      <c r="AW35" s="154">
        <f>HLOOKUP(AW$1,'Asset Returns'!$F$1:$ZS$109,ROW(),0)</f>
        <v>-2.3203600000000001E-2</v>
      </c>
      <c r="AX35" s="154">
        <f>HLOOKUP(AX$1,'Asset Returns'!$F$1:$ZS$109,ROW(),0)</f>
        <v>-7.3531999999999998E-3</v>
      </c>
      <c r="AY35" s="154">
        <f>HLOOKUP(AY$1,'Asset Returns'!$F$1:$ZS$109,ROW(),0)</f>
        <v>2.6953000000000003E-4</v>
      </c>
      <c r="AZ35" s="154">
        <f>HLOOKUP(AZ$1,'Asset Returns'!$F$1:$ZS$109,ROW(),0)</f>
        <v>1.01549E-3</v>
      </c>
      <c r="BA35" s="154">
        <f>HLOOKUP(BA$1,'Asset Returns'!$F$1:$ZS$109,ROW(),0)</f>
        <v>4.1257400000000007E-2</v>
      </c>
      <c r="BB35" s="273" t="e">
        <f>IF(IF(Funds!$J$10="no",BG35,BL35)=0,NA(),IF(Funds!$J$10="no",BG35,BL35))</f>
        <v>#N/A</v>
      </c>
      <c r="BC35" s="273" t="e">
        <f>IF(IF(Funds!$J$10="no",BH35,BM35)=0,NA(),IF(Funds!$J$10="no",BH35,BM35))</f>
        <v>#N/A</v>
      </c>
      <c r="BD35" s="273" t="e">
        <f>IF(IF(Funds!$J$10="no",BI35,BN35)=0,NA(),IF(Funds!$J$10="no",BI35,BN35))</f>
        <v>#N/A</v>
      </c>
      <c r="BE35" s="273" t="e">
        <f>IF(IF(Funds!$J$10="no",BJ35,BO35)=0,NA(),IF(Funds!$J$10="no",BJ35,BO35))</f>
        <v>#N/A</v>
      </c>
      <c r="BF35" s="273" t="e">
        <f>IF(IF(Funds!$J$10="no",BK35,BP35)=0,NA(),IF(Funds!$J$10="no",BK35,BP35))</f>
        <v>#N/A</v>
      </c>
      <c r="BG35" s="274">
        <f ca="1">Funds!$R$34</f>
        <v>2.5919346055080732</v>
      </c>
      <c r="BH35" s="274">
        <f ca="1">Funds!$R$36</f>
        <v>1.3378677483181089E-2</v>
      </c>
      <c r="BI35" s="274">
        <f ca="1">Funds!$R$38</f>
        <v>-0.15972963753204919</v>
      </c>
      <c r="BJ35" s="274">
        <f ca="1">Funds!$R$40</f>
        <v>-0.16887551350866659</v>
      </c>
      <c r="BK35" s="274">
        <f ca="1">Funds!$R$42</f>
        <v>-1.9222891726906419</v>
      </c>
      <c r="BL35" s="154"/>
      <c r="BN35" s="154"/>
      <c r="BP35" s="154"/>
      <c r="BR35" s="154" t="s">
        <v>63</v>
      </c>
      <c r="BS35" s="158">
        <v>-0.66292899999999999</v>
      </c>
      <c r="BT35" s="154"/>
      <c r="BU35" s="154"/>
      <c r="BX35" s="154"/>
      <c r="BZ35" s="154"/>
      <c r="CA35" s="154"/>
      <c r="CB35" s="154"/>
      <c r="CE35" s="154"/>
      <c r="CG35" s="218"/>
      <c r="CH35" s="154" t="s">
        <v>60</v>
      </c>
      <c r="CI35" s="158">
        <v>-0.14766299999999999</v>
      </c>
      <c r="CJ35" s="153" t="str">
        <f t="shared" si="16"/>
        <v>Israel</v>
      </c>
      <c r="CK35" s="153" t="s">
        <v>60</v>
      </c>
      <c r="CL35" s="158">
        <v>-0.16257759999999999</v>
      </c>
      <c r="CM35" s="153" t="str">
        <f t="shared" si="17"/>
        <v>Israel</v>
      </c>
      <c r="CN35" s="154"/>
      <c r="CO35" s="209" t="s">
        <v>70</v>
      </c>
      <c r="CP35" s="157">
        <v>-8.5502700000000001E-2</v>
      </c>
      <c r="CQ35" s="210"/>
      <c r="CR35" s="209" t="s">
        <v>70</v>
      </c>
      <c r="CS35" s="158">
        <v>-0.1349369</v>
      </c>
      <c r="CT35" s="154"/>
    </row>
    <row r="36" spans="6:98">
      <c r="F36" s="421">
        <v>41243</v>
      </c>
      <c r="G36" s="272">
        <f>BMG!F36</f>
        <v>-3.1395399999999997E-2</v>
      </c>
      <c r="H36" s="272"/>
      <c r="I36" s="272"/>
      <c r="J36" s="272"/>
      <c r="K36" s="272"/>
      <c r="L36" s="272"/>
      <c r="M36" s="272"/>
      <c r="N36" s="272">
        <f t="shared" si="25"/>
        <v>2.2801436474664039E-2</v>
      </c>
      <c r="O36" s="272"/>
      <c r="P36" s="421">
        <v>41243</v>
      </c>
      <c r="Q36" s="154">
        <f>HLOOKUP(Q$1,'Asset Returns'!$F$1:$N$109,ROW(),0)</f>
        <v>6.1464730650186539E-2</v>
      </c>
      <c r="R36" s="154">
        <f>HLOOKUP(R$1,'Asset Returns'!$F$1:$N$109,ROW(),0)</f>
        <v>0.1177239790558815</v>
      </c>
      <c r="S36" s="154">
        <f>HLOOKUP(S$1,'Asset Returns'!$F$1:$N$109,ROW(),0)</f>
        <v>-1.9075492396950722E-2</v>
      </c>
      <c r="T36" s="154">
        <f>HLOOKUP(T$1,'Asset Returns'!$F$1:$N$109,ROW(),0)</f>
        <v>-1.8682464957237244E-2</v>
      </c>
      <c r="U36" s="154">
        <f>HLOOKUP(U$1,'Asset Returns'!$F$1:$N$109,ROW(),0)</f>
        <v>1.7093241214752197E-2</v>
      </c>
      <c r="V36" s="273" t="e">
        <f>IF(IF(Equity!$J$10="no",AA36,AF36)=0,NA(),IF(Equity!$J$10="no",AA36,AF36))</f>
        <v>#N/A</v>
      </c>
      <c r="W36" s="273" t="e">
        <f>IF(IF(Equity!$J$10="no",AB36,AG36)=0,NA(),IF(Equity!$J$10="no",AB36,AG36))</f>
        <v>#N/A</v>
      </c>
      <c r="X36" s="273" t="e">
        <f>IF(IF(Equity!$J$10="no",AC36,AH36)=0,NA(),IF(Equity!$J$10="no",AC36,AH36))</f>
        <v>#N/A</v>
      </c>
      <c r="Y36" s="273" t="e">
        <f>IF(IF(Equity!$J$10="no",AD36,AI36)=0,NA(),IF(Equity!$J$10="no",AD36,AI36))</f>
        <v>#N/A</v>
      </c>
      <c r="Z36" s="273" t="e">
        <f>IF(IF(Equity!$J$10="no",AE36,AJ36)=0,NA(),IF(Equity!$J$10="no",AE36,AJ36))</f>
        <v>#N/A</v>
      </c>
      <c r="AA36" s="274">
        <f ca="1">Equity!$R$34</f>
        <v>0.64097224418739052</v>
      </c>
      <c r="AB36" s="274">
        <f ca="1">Equity!$R$36</f>
        <v>-0.78557102570241866</v>
      </c>
      <c r="AC36" s="274">
        <f ca="1">Equity!$R$38</f>
        <v>0.9378377404978776</v>
      </c>
      <c r="AD36" s="274">
        <f ca="1">Equity!$R$40</f>
        <v>0.17519882647973573</v>
      </c>
      <c r="AE36" s="274">
        <f ca="1">Equity!$R$42</f>
        <v>7.3760094442444454E-2</v>
      </c>
      <c r="AF36" s="154"/>
      <c r="AH36" s="154"/>
      <c r="AJ36" s="154"/>
      <c r="AK36" s="154"/>
      <c r="AL36" s="421">
        <v>41243</v>
      </c>
      <c r="AM36" s="154">
        <f>HLOOKUP(AM$1,'Asset Returns'!$F$1:$ZS$109,ROW(),0)</f>
        <v>6.7269556570834776E-3</v>
      </c>
      <c r="AN36" s="154">
        <f>HLOOKUP(AN$1,'Asset Returns'!$F$1:$ZS$109,ROW(),0)</f>
        <v>9.8286709523391913E-3</v>
      </c>
      <c r="AO36" s="273">
        <f ca="1">IF(IF(Bonds!$J$10="no",AQ36,AS36)=0,NA(),IF(Bonds!$J$10="no",AQ36,AS36))</f>
        <v>-0.12498736259259137</v>
      </c>
      <c r="AP36" s="273">
        <f ca="1">IF(IF(Bonds!$J$10="no",AR36,AT36)=0,NA(),IF(Bonds!$J$10="no",AR36,AT36))</f>
        <v>0.19970923689173462</v>
      </c>
      <c r="AQ36" s="273">
        <f ca="1">Bonds!$P$32</f>
        <v>-0.12498736259259137</v>
      </c>
      <c r="AR36" s="273">
        <f ca="1">Bonds!$P$34</f>
        <v>0.19970923689173462</v>
      </c>
      <c r="AS36" s="154"/>
      <c r="AU36" s="154"/>
      <c r="AV36" s="421">
        <v>41243</v>
      </c>
      <c r="AW36" s="154">
        <f>HLOOKUP(AW$1,'Asset Returns'!$F$1:$ZS$109,ROW(),0)</f>
        <v>-8.659E-2</v>
      </c>
      <c r="AX36" s="154">
        <f>HLOOKUP(AX$1,'Asset Returns'!$F$1:$ZS$109,ROW(),0)</f>
        <v>1.18656E-2</v>
      </c>
      <c r="AY36" s="154">
        <f>HLOOKUP(AY$1,'Asset Returns'!$F$1:$ZS$109,ROW(),0)</f>
        <v>2.3129810000000001E-2</v>
      </c>
      <c r="AZ36" s="154">
        <f>HLOOKUP(AZ$1,'Asset Returns'!$F$1:$ZS$109,ROW(),0)</f>
        <v>1.0532950000000001E-2</v>
      </c>
      <c r="BA36" s="154">
        <f>HLOOKUP(BA$1,'Asset Returns'!$F$1:$ZS$109,ROW(),0)</f>
        <v>1.50943E-2</v>
      </c>
      <c r="BB36" s="273" t="e">
        <f>IF(IF(Funds!$J$10="no",BG36,BL36)=0,NA(),IF(Funds!$J$10="no",BG36,BL36))</f>
        <v>#N/A</v>
      </c>
      <c r="BC36" s="273" t="e">
        <f>IF(IF(Funds!$J$10="no",BH36,BM36)=0,NA(),IF(Funds!$J$10="no",BH36,BM36))</f>
        <v>#N/A</v>
      </c>
      <c r="BD36" s="273" t="e">
        <f>IF(IF(Funds!$J$10="no",BI36,BN36)=0,NA(),IF(Funds!$J$10="no",BI36,BN36))</f>
        <v>#N/A</v>
      </c>
      <c r="BE36" s="273" t="e">
        <f>IF(IF(Funds!$J$10="no",BJ36,BO36)=0,NA(),IF(Funds!$J$10="no",BJ36,BO36))</f>
        <v>#N/A</v>
      </c>
      <c r="BF36" s="273" t="e">
        <f>IF(IF(Funds!$J$10="no",BK36,BP36)=0,NA(),IF(Funds!$J$10="no",BK36,BP36))</f>
        <v>#N/A</v>
      </c>
      <c r="BG36" s="274">
        <f ca="1">Funds!$R$34</f>
        <v>2.5919346055080732</v>
      </c>
      <c r="BH36" s="274">
        <f ca="1">Funds!$R$36</f>
        <v>1.3378677483181089E-2</v>
      </c>
      <c r="BI36" s="274">
        <f ca="1">Funds!$R$38</f>
        <v>-0.15972963753204919</v>
      </c>
      <c r="BJ36" s="274">
        <f ca="1">Funds!$R$40</f>
        <v>-0.16887551350866659</v>
      </c>
      <c r="BK36" s="274">
        <f ca="1">Funds!$R$42</f>
        <v>-1.9222891726906419</v>
      </c>
      <c r="BL36" s="154"/>
      <c r="BN36" s="154"/>
      <c r="BP36" s="154"/>
      <c r="BR36" s="154" t="s">
        <v>64</v>
      </c>
      <c r="BS36" s="158">
        <v>-4.4736400000000003E-2</v>
      </c>
      <c r="BT36" s="154"/>
      <c r="BU36" s="154"/>
      <c r="BX36" s="154"/>
      <c r="BZ36" s="154"/>
      <c r="CA36" s="154"/>
      <c r="CB36" s="154"/>
      <c r="CE36" s="154"/>
      <c r="CG36" s="218"/>
      <c r="CH36" s="154" t="s">
        <v>63</v>
      </c>
      <c r="CI36" s="158">
        <v>-1.051145</v>
      </c>
      <c r="CJ36" s="153" t="str">
        <f t="shared" si="16"/>
        <v>Italy</v>
      </c>
      <c r="CK36" s="153" t="s">
        <v>63</v>
      </c>
      <c r="CL36" s="158">
        <v>-0.85338789999999998</v>
      </c>
      <c r="CM36" s="153" t="str">
        <f t="shared" si="17"/>
        <v>Italy</v>
      </c>
      <c r="CN36" s="154"/>
      <c r="CO36" s="209" t="s">
        <v>67</v>
      </c>
      <c r="CP36" s="157">
        <v>-1.55246E-2</v>
      </c>
      <c r="CQ36" s="210"/>
      <c r="CR36" s="209" t="s">
        <v>67</v>
      </c>
      <c r="CS36" s="158">
        <v>1.7929E-2</v>
      </c>
      <c r="CT36" s="154"/>
    </row>
    <row r="37" spans="6:98">
      <c r="F37" s="421">
        <v>41274</v>
      </c>
      <c r="G37" s="272">
        <f>BMG!F37</f>
        <v>8.3701000000000001E-3</v>
      </c>
      <c r="H37" s="272"/>
      <c r="I37" s="272"/>
      <c r="J37" s="272"/>
      <c r="K37" s="272"/>
      <c r="L37" s="272"/>
      <c r="M37" s="272"/>
      <c r="N37" s="272">
        <f t="shared" si="25"/>
        <v>3.136238677810077E-2</v>
      </c>
      <c r="O37" s="272"/>
      <c r="P37" s="421">
        <v>41274</v>
      </c>
      <c r="Q37" s="154">
        <f>HLOOKUP(Q$1,'Asset Returns'!$F$1:$N$109,ROW(),0)</f>
        <v>0.13501012325286865</v>
      </c>
      <c r="R37" s="154">
        <f>HLOOKUP(R$1,'Asset Returns'!$F$1:$N$109,ROW(),0)</f>
        <v>8.0506905913352966E-2</v>
      </c>
      <c r="S37" s="154">
        <f>HLOOKUP(S$1,'Asset Returns'!$F$1:$N$109,ROW(),0)</f>
        <v>-1.8244059756398201E-3</v>
      </c>
      <c r="T37" s="154">
        <f>HLOOKUP(T$1,'Asset Returns'!$F$1:$N$109,ROW(),0)</f>
        <v>7.6866131275892258E-3</v>
      </c>
      <c r="U37" s="154">
        <f>HLOOKUP(U$1,'Asset Returns'!$F$1:$N$109,ROW(),0)</f>
        <v>8.8602684438228607E-2</v>
      </c>
      <c r="V37" s="273" t="e">
        <f>IF(IF(Equity!$J$10="no",AA37,AF37)=0,NA(),IF(Equity!$J$10="no",AA37,AF37))</f>
        <v>#N/A</v>
      </c>
      <c r="W37" s="273" t="e">
        <f>IF(IF(Equity!$J$10="no",AB37,AG37)=0,NA(),IF(Equity!$J$10="no",AB37,AG37))</f>
        <v>#N/A</v>
      </c>
      <c r="X37" s="273" t="e">
        <f>IF(IF(Equity!$J$10="no",AC37,AH37)=0,NA(),IF(Equity!$J$10="no",AC37,AH37))</f>
        <v>#N/A</v>
      </c>
      <c r="Y37" s="273" t="e">
        <f>IF(IF(Equity!$J$10="no",AD37,AI37)=0,NA(),IF(Equity!$J$10="no",AD37,AI37))</f>
        <v>#N/A</v>
      </c>
      <c r="Z37" s="273" t="e">
        <f>IF(IF(Equity!$J$10="no",AE37,AJ37)=0,NA(),IF(Equity!$J$10="no",AE37,AJ37))</f>
        <v>#N/A</v>
      </c>
      <c r="AA37" s="274">
        <f ca="1">Equity!$R$34</f>
        <v>0.64097224418739052</v>
      </c>
      <c r="AB37" s="274">
        <f ca="1">Equity!$R$36</f>
        <v>-0.78557102570241866</v>
      </c>
      <c r="AC37" s="274">
        <f ca="1">Equity!$R$38</f>
        <v>0.9378377404978776</v>
      </c>
      <c r="AD37" s="274">
        <f ca="1">Equity!$R$40</f>
        <v>0.17519882647973573</v>
      </c>
      <c r="AE37" s="274">
        <f ca="1">Equity!$R$42</f>
        <v>7.3760094442444454E-2</v>
      </c>
      <c r="AF37" s="154"/>
      <c r="AH37" s="154"/>
      <c r="AJ37" s="154"/>
      <c r="AK37" s="154"/>
      <c r="AL37" s="421">
        <v>41274</v>
      </c>
      <c r="AM37" s="154">
        <f>HLOOKUP(AM$1,'Asset Returns'!$F$1:$ZS$109,ROW(),0)</f>
        <v>-6.1507379763174885E-3</v>
      </c>
      <c r="AN37" s="154">
        <f>HLOOKUP(AN$1,'Asset Returns'!$F$1:$ZS$109,ROW(),0)</f>
        <v>-1.9146266429599157E-2</v>
      </c>
      <c r="AO37" s="273">
        <f ca="1">IF(IF(Bonds!$J$10="no",AQ37,AS37)=0,NA(),IF(Bonds!$J$10="no",AQ37,AS37))</f>
        <v>-0.12498736259259137</v>
      </c>
      <c r="AP37" s="273">
        <f ca="1">IF(IF(Bonds!$J$10="no",AR37,AT37)=0,NA(),IF(Bonds!$J$10="no",AR37,AT37))</f>
        <v>0.19970923689173462</v>
      </c>
      <c r="AQ37" s="273">
        <f ca="1">Bonds!$P$32</f>
        <v>-0.12498736259259137</v>
      </c>
      <c r="AR37" s="273">
        <f ca="1">Bonds!$P$34</f>
        <v>0.19970923689173462</v>
      </c>
      <c r="AS37" s="154"/>
      <c r="AU37" s="154"/>
      <c r="AV37" s="421">
        <v>41274</v>
      </c>
      <c r="AW37" s="154">
        <f>HLOOKUP(AW$1,'Asset Returns'!$F$1:$ZS$109,ROW(),0)</f>
        <v>-1.8456399999999998E-2</v>
      </c>
      <c r="AX37" s="154">
        <f>HLOOKUP(AX$1,'Asset Returns'!$F$1:$ZS$109,ROW(),0)</f>
        <v>1.8587199999999998E-2</v>
      </c>
      <c r="AY37" s="154">
        <f>HLOOKUP(AY$1,'Asset Returns'!$F$1:$ZS$109,ROW(),0)</f>
        <v>2.6021249999999999E-2</v>
      </c>
      <c r="AZ37" s="154">
        <f>HLOOKUP(AZ$1,'Asset Returns'!$F$1:$ZS$109,ROW(),0)</f>
        <v>7.4240799999999996E-3</v>
      </c>
      <c r="BA37" s="154">
        <f>HLOOKUP(BA$1,'Asset Returns'!$F$1:$ZS$109,ROW(),0)</f>
        <v>-2.2769499999999998E-2</v>
      </c>
      <c r="BB37" s="273" t="e">
        <f>IF(IF(Funds!$J$10="no",BG37,BL37)=0,NA(),IF(Funds!$J$10="no",BG37,BL37))</f>
        <v>#N/A</v>
      </c>
      <c r="BC37" s="273" t="e">
        <f>IF(IF(Funds!$J$10="no",BH37,BM37)=0,NA(),IF(Funds!$J$10="no",BH37,BM37))</f>
        <v>#N/A</v>
      </c>
      <c r="BD37" s="273" t="e">
        <f>IF(IF(Funds!$J$10="no",BI37,BN37)=0,NA(),IF(Funds!$J$10="no",BI37,BN37))</f>
        <v>#N/A</v>
      </c>
      <c r="BE37" s="273" t="e">
        <f>IF(IF(Funds!$J$10="no",BJ37,BO37)=0,NA(),IF(Funds!$J$10="no",BJ37,BO37))</f>
        <v>#N/A</v>
      </c>
      <c r="BF37" s="273" t="e">
        <f>IF(IF(Funds!$J$10="no",BK37,BP37)=0,NA(),IF(Funds!$J$10="no",BK37,BP37))</f>
        <v>#N/A</v>
      </c>
      <c r="BG37" s="274">
        <f ca="1">Funds!$R$34</f>
        <v>2.5919346055080732</v>
      </c>
      <c r="BH37" s="274">
        <f ca="1">Funds!$R$36</f>
        <v>1.3378677483181089E-2</v>
      </c>
      <c r="BI37" s="274">
        <f ca="1">Funds!$R$38</f>
        <v>-0.15972963753204919</v>
      </c>
      <c r="BJ37" s="274">
        <f ca="1">Funds!$R$40</f>
        <v>-0.16887551350866659</v>
      </c>
      <c r="BK37" s="274">
        <f ca="1">Funds!$R$42</f>
        <v>-1.9222891726906419</v>
      </c>
      <c r="BL37" s="154"/>
      <c r="BN37" s="154"/>
      <c r="BP37" s="154"/>
      <c r="BR37" s="154" t="s">
        <v>65</v>
      </c>
      <c r="BS37" s="158">
        <v>-3.75389E-2</v>
      </c>
      <c r="BT37" s="154"/>
      <c r="BU37" s="154"/>
      <c r="BX37" s="154"/>
      <c r="BZ37" s="154"/>
      <c r="CA37" s="154"/>
      <c r="CB37" s="154"/>
      <c r="CE37" s="154"/>
      <c r="CG37" s="218"/>
      <c r="CH37" s="154" t="s">
        <v>64</v>
      </c>
      <c r="CI37" s="158">
        <v>-2.4988199999999999E-2</v>
      </c>
      <c r="CJ37" s="153" t="str">
        <f t="shared" si="16"/>
        <v>Jamaica</v>
      </c>
      <c r="CK37" s="153" t="s">
        <v>64</v>
      </c>
      <c r="CL37" s="158">
        <v>-0.13541800000000001</v>
      </c>
      <c r="CM37" s="153" t="str">
        <f t="shared" si="17"/>
        <v>Jamaica</v>
      </c>
      <c r="CN37" s="154"/>
      <c r="CO37" s="209" t="s">
        <v>69</v>
      </c>
      <c r="CP37" s="157">
        <v>-1.42089E-2</v>
      </c>
      <c r="CQ37" s="210"/>
      <c r="CR37" s="209" t="s">
        <v>69</v>
      </c>
      <c r="CS37" s="158">
        <v>-3.7110600000000001E-2</v>
      </c>
      <c r="CT37" s="154"/>
    </row>
    <row r="38" spans="6:98">
      <c r="F38" s="421">
        <v>41305</v>
      </c>
      <c r="G38" s="272">
        <f>BMG!F38</f>
        <v>-2.4658900000000001E-2</v>
      </c>
      <c r="H38" s="272" t="e">
        <f>IF('Carbon Risk Factor BMG'!$G$10="yes",AVERAGE(AC!$G2:$G37),NA())</f>
        <v>#N/A</v>
      </c>
      <c r="I38" s="272" t="e">
        <f>IF('Carbon Risk Factor BMG'!$G$11="yes",MIN(AC!$G2:$G37),NA())</f>
        <v>#N/A</v>
      </c>
      <c r="J38" s="272" t="e">
        <f>IF('Carbon Risk Factor BMG'!$G$12="yes",MAX(AC!$G2:$G37),NA())</f>
        <v>#N/A</v>
      </c>
      <c r="K38" s="272" t="e">
        <f>IF('Carbon Risk Factor BMG'!$G$13="yes",_xlfn.STDEV.S(AC!$G2:$G37),NA())</f>
        <v>#N/A</v>
      </c>
      <c r="L38" s="272" t="e">
        <f>IF('Carbon Risk Factor BMG'!$G$14="yes",_xlfn.PERCENTILE.INC(AC!$G2:$G37,'Carbon Risk Factor BMG'!$H$14),NA())</f>
        <v>#N/A</v>
      </c>
      <c r="M38" s="272" t="e">
        <f>IF('Carbon Risk Factor BMG'!$G$15="yes",_xlfn.PERCENTILE.INC(AC!$G2:$G37,'Carbon Risk Factor BMG'!$H$15),NA())</f>
        <v>#N/A</v>
      </c>
      <c r="N38" s="272">
        <f t="shared" si="25"/>
        <v>5.930124818778193E-3</v>
      </c>
      <c r="O38" s="272"/>
      <c r="P38" s="421">
        <v>41305</v>
      </c>
      <c r="Q38" s="154">
        <f>HLOOKUP(Q$1,'Asset Returns'!$F$1:$N$109,ROW(),0)</f>
        <v>-1.8185602501034737E-2</v>
      </c>
      <c r="R38" s="154">
        <f>HLOOKUP(R$1,'Asset Returns'!$F$1:$N$109,ROW(),0)</f>
        <v>3.2625295221805573E-2</v>
      </c>
      <c r="S38" s="154">
        <f>HLOOKUP(S$1,'Asset Returns'!$F$1:$N$109,ROW(),0)</f>
        <v>7.1681596338748932E-2</v>
      </c>
      <c r="T38" s="154">
        <f>HLOOKUP(T$1,'Asset Returns'!$F$1:$N$109,ROW(),0)</f>
        <v>6.0140948742628098E-2</v>
      </c>
      <c r="U38" s="154">
        <f>HLOOKUP(U$1,'Asset Returns'!$F$1:$N$109,ROW(),0)</f>
        <v>3.9808913134038448E-3</v>
      </c>
      <c r="V38" s="273" t="e">
        <f>IF(IF(Equity!$J$10="no",AA38,AF38)=0,NA(),IF(Equity!$J$10="no",AA38,AF38))</f>
        <v>#N/A</v>
      </c>
      <c r="W38" s="273" t="e">
        <f>IF(IF(Equity!$J$10="no",AB38,AG38)=0,NA(),IF(Equity!$J$10="no",AB38,AG38))</f>
        <v>#N/A</v>
      </c>
      <c r="X38" s="273" t="e">
        <f>IF(IF(Equity!$J$10="no",AC38,AH38)=0,NA(),IF(Equity!$J$10="no",AC38,AH38))</f>
        <v>#N/A</v>
      </c>
      <c r="Y38" s="273" t="e">
        <f>IF(IF(Equity!$J$10="no",AD38,AI38)=0,NA(),IF(Equity!$J$10="no",AD38,AI38))</f>
        <v>#N/A</v>
      </c>
      <c r="Z38" s="273" t="e">
        <f>IF(IF(Equity!$J$10="no",AE38,AJ38)=0,NA(),IF(Equity!$J$10="no",AE38,AJ38))</f>
        <v>#N/A</v>
      </c>
      <c r="AA38" s="274">
        <f ca="1">Equity!$R$34</f>
        <v>0.64097224418739052</v>
      </c>
      <c r="AB38" s="274">
        <f ca="1">Equity!$R$36</f>
        <v>-0.78557102570241866</v>
      </c>
      <c r="AC38" s="274">
        <f ca="1">Equity!$R$38</f>
        <v>0.9378377404978776</v>
      </c>
      <c r="AD38" s="274">
        <f ca="1">Equity!$R$40</f>
        <v>0.17519882647973573</v>
      </c>
      <c r="AE38" s="274">
        <f ca="1">Equity!$R$42</f>
        <v>7.3760094442444454E-2</v>
      </c>
      <c r="AF38" s="274"/>
      <c r="AG38" s="274"/>
      <c r="AH38" s="274"/>
      <c r="AI38" s="274"/>
      <c r="AJ38" s="274"/>
      <c r="AK38" s="274"/>
      <c r="AL38" s="421">
        <v>41305</v>
      </c>
      <c r="AM38" s="154">
        <f>HLOOKUP(AM$1,'Asset Returns'!$F$1:$ZS$109,ROW(),0)</f>
        <v>-7.9543443971374916E-3</v>
      </c>
      <c r="AN38" s="154">
        <f>HLOOKUP(AN$1,'Asset Returns'!$F$1:$ZS$109,ROW(),0)</f>
        <v>-2.73932005986397E-2</v>
      </c>
      <c r="AO38" s="273">
        <f ca="1">IF(IF(Bonds!$J$10="no",AQ38,AS38)=0,NA(),IF(Bonds!$J$10="no",AQ38,AS38))</f>
        <v>-0.12498736259259137</v>
      </c>
      <c r="AP38" s="273">
        <f ca="1">IF(IF(Bonds!$J$10="no",AR38,AT38)=0,NA(),IF(Bonds!$J$10="no",AR38,AT38))</f>
        <v>0.19970923689173462</v>
      </c>
      <c r="AQ38" s="273">
        <f ca="1">Bonds!$P$32</f>
        <v>-0.12498736259259137</v>
      </c>
      <c r="AR38" s="273">
        <f ca="1">Bonds!$P$34</f>
        <v>0.19970923689173462</v>
      </c>
      <c r="AS38" s="274"/>
      <c r="AT38" s="274"/>
      <c r="AU38" s="274"/>
      <c r="AV38" s="421">
        <v>41305</v>
      </c>
      <c r="AW38" s="154">
        <f>HLOOKUP(AW$1,'Asset Returns'!$F$1:$ZS$109,ROW(),0)</f>
        <v>-5.8974399999999996E-2</v>
      </c>
      <c r="AX38" s="154">
        <f>HLOOKUP(AX$1,'Asset Returns'!$F$1:$ZS$109,ROW(),0)</f>
        <v>5.1010699999999999E-2</v>
      </c>
      <c r="AY38" s="154">
        <f>HLOOKUP(AY$1,'Asset Returns'!$F$1:$ZS$109,ROW(),0)</f>
        <v>5.6765429999999999E-2</v>
      </c>
      <c r="AZ38" s="154">
        <f>HLOOKUP(AZ$1,'Asset Returns'!$F$1:$ZS$109,ROW(),0)</f>
        <v>6.7401309999999992E-2</v>
      </c>
      <c r="BA38" s="154">
        <f>HLOOKUP(BA$1,'Asset Returns'!$F$1:$ZS$109,ROW(),0)</f>
        <v>-0.1526391</v>
      </c>
      <c r="BB38" s="273" t="e">
        <f>IF(IF(Funds!$J$10="no",BG38,BL38)=0,NA(),IF(Funds!$J$10="no",BG38,BL38))</f>
        <v>#N/A</v>
      </c>
      <c r="BC38" s="273" t="e">
        <f>IF(IF(Funds!$J$10="no",BH38,BM38)=0,NA(),IF(Funds!$J$10="no",BH38,BM38))</f>
        <v>#N/A</v>
      </c>
      <c r="BD38" s="273" t="e">
        <f>IF(IF(Funds!$J$10="no",BI38,BN38)=0,NA(),IF(Funds!$J$10="no",BI38,BN38))</f>
        <v>#N/A</v>
      </c>
      <c r="BE38" s="273" t="e">
        <f>IF(IF(Funds!$J$10="no",BJ38,BO38)=0,NA(),IF(Funds!$J$10="no",BJ38,BO38))</f>
        <v>#N/A</v>
      </c>
      <c r="BF38" s="273" t="e">
        <f>IF(IF(Funds!$J$10="no",BK38,BP38)=0,NA(),IF(Funds!$J$10="no",BK38,BP38))</f>
        <v>#N/A</v>
      </c>
      <c r="BG38" s="274">
        <f ca="1">Funds!$R$34</f>
        <v>2.5919346055080732</v>
      </c>
      <c r="BH38" s="274">
        <f ca="1">Funds!$R$36</f>
        <v>1.3378677483181089E-2</v>
      </c>
      <c r="BI38" s="274">
        <f ca="1">Funds!$R$38</f>
        <v>-0.15972963753204919</v>
      </c>
      <c r="BJ38" s="274">
        <f ca="1">Funds!$R$40</f>
        <v>-0.16887551350866659</v>
      </c>
      <c r="BK38" s="274">
        <f ca="1">Funds!$R$42</f>
        <v>-1.9222891726906419</v>
      </c>
      <c r="BL38" s="274"/>
      <c r="BM38" s="274"/>
      <c r="BN38" s="274"/>
      <c r="BO38" s="274"/>
      <c r="BP38" s="274"/>
      <c r="BR38" s="154" t="s">
        <v>66</v>
      </c>
      <c r="BS38" s="158">
        <v>-0.41020669999999998</v>
      </c>
      <c r="BT38" s="154"/>
      <c r="BU38" s="154"/>
      <c r="BX38" s="154"/>
      <c r="BZ38" s="154"/>
      <c r="CA38" s="154"/>
      <c r="CB38" s="154"/>
      <c r="CE38" s="154"/>
      <c r="CG38" s="218"/>
      <c r="CH38" s="154" t="s">
        <v>66</v>
      </c>
      <c r="CI38" s="158">
        <v>-0.64926150000000005</v>
      </c>
      <c r="CJ38" s="153" t="str">
        <f t="shared" si="16"/>
        <v>Japan</v>
      </c>
      <c r="CK38" s="153" t="s">
        <v>66</v>
      </c>
      <c r="CL38" s="158">
        <v>-0.65054109999999998</v>
      </c>
      <c r="CM38" s="153" t="str">
        <f t="shared" si="17"/>
        <v>Japan</v>
      </c>
      <c r="CN38" s="154"/>
      <c r="CO38" s="209" t="s">
        <v>72</v>
      </c>
      <c r="CP38" s="157">
        <v>-0.55082180000000003</v>
      </c>
      <c r="CQ38" s="210"/>
      <c r="CR38" s="209" t="s">
        <v>72</v>
      </c>
      <c r="CS38" s="158">
        <v>-0.46777990000000003</v>
      </c>
      <c r="CT38" s="154"/>
    </row>
    <row r="39" spans="6:98">
      <c r="F39" s="421">
        <v>41333</v>
      </c>
      <c r="G39" s="272">
        <f>BMG!F39</f>
        <v>-9.1193999999999997E-3</v>
      </c>
      <c r="H39" s="272" t="e">
        <f>IF('Carbon Risk Factor BMG'!$G$10="yes",AVERAGE(AC!$G3:$G38),NA())</f>
        <v>#N/A</v>
      </c>
      <c r="I39" s="272" t="e">
        <f>IF('Carbon Risk Factor BMG'!$G$11="yes",MIN(AC!$G3:$G38),NA())</f>
        <v>#N/A</v>
      </c>
      <c r="J39" s="272" t="e">
        <f>IF('Carbon Risk Factor BMG'!$G$12="yes",MAX(AC!$G3:$G38),NA())</f>
        <v>#N/A</v>
      </c>
      <c r="K39" s="272" t="e">
        <f>IF('Carbon Risk Factor BMG'!$G$13="yes",_xlfn.STDEV.S(AC!$G3:$G38),NA())</f>
        <v>#N/A</v>
      </c>
      <c r="L39" s="272" t="e">
        <f>IF('Carbon Risk Factor BMG'!$G$14="yes",_xlfn.PERCENTILE.INC(AC!$G3:$G38,'Carbon Risk Factor BMG'!$H$14),NA())</f>
        <v>#N/A</v>
      </c>
      <c r="M39" s="272" t="e">
        <f>IF('Carbon Risk Factor BMG'!$G$15="yes",_xlfn.PERCENTILE.INC(AC!$G3:$G38,'Carbon Risk Factor BMG'!$H$15),NA())</f>
        <v>#N/A</v>
      </c>
      <c r="N39" s="272">
        <f t="shared" si="25"/>
        <v>-3.243354361494144E-3</v>
      </c>
      <c r="O39" s="272"/>
      <c r="P39" s="421">
        <v>41333</v>
      </c>
      <c r="Q39" s="154">
        <f>HLOOKUP(Q$1,'Asset Returns'!$F$1:$N$109,ROW(),0)</f>
        <v>-5.6616306304931641E-2</v>
      </c>
      <c r="R39" s="154">
        <f>HLOOKUP(R$1,'Asset Returns'!$F$1:$N$109,ROW(),0)</f>
        <v>7.980038970708847E-2</v>
      </c>
      <c r="S39" s="154">
        <f>HLOOKUP(S$1,'Asset Returns'!$F$1:$N$109,ROW(),0)</f>
        <v>-7.3647074401378632E-2</v>
      </c>
      <c r="T39" s="154">
        <f>HLOOKUP(T$1,'Asset Returns'!$F$1:$N$109,ROW(),0)</f>
        <v>-6.8488838151097298E-3</v>
      </c>
      <c r="U39" s="154">
        <f>HLOOKUP(U$1,'Asset Returns'!$F$1:$N$109,ROW(),0)</f>
        <v>3.9122387766838074E-2</v>
      </c>
      <c r="V39" s="273" t="e">
        <f>IF(IF(Equity!$J$10="no",AA39,AF39)=0,NA(),IF(Equity!$J$10="no",AA39,AF39))</f>
        <v>#N/A</v>
      </c>
      <c r="W39" s="273" t="e">
        <f>IF(IF(Equity!$J$10="no",AB39,AG39)=0,NA(),IF(Equity!$J$10="no",AB39,AG39))</f>
        <v>#N/A</v>
      </c>
      <c r="X39" s="273" t="e">
        <f>IF(IF(Equity!$J$10="no",AC39,AH39)=0,NA(),IF(Equity!$J$10="no",AC39,AH39))</f>
        <v>#N/A</v>
      </c>
      <c r="Y39" s="273" t="e">
        <f>IF(IF(Equity!$J$10="no",AD39,AI39)=0,NA(),IF(Equity!$J$10="no",AD39,AI39))</f>
        <v>#N/A</v>
      </c>
      <c r="Z39" s="273" t="e">
        <f>IF(IF(Equity!$J$10="no",AE39,AJ39)=0,NA(),IF(Equity!$J$10="no",AE39,AJ39))</f>
        <v>#N/A</v>
      </c>
      <c r="AA39" s="274">
        <f ca="1">Equity!$R$34</f>
        <v>0.64097224418739052</v>
      </c>
      <c r="AB39" s="274">
        <f ca="1">Equity!$R$36</f>
        <v>-0.78557102570241866</v>
      </c>
      <c r="AC39" s="274">
        <f ca="1">Equity!$R$38</f>
        <v>0.9378377404978776</v>
      </c>
      <c r="AD39" s="274">
        <f ca="1">Equity!$R$40</f>
        <v>0.17519882647973573</v>
      </c>
      <c r="AE39" s="274">
        <f ca="1">Equity!$R$42</f>
        <v>7.3760094442444454E-2</v>
      </c>
      <c r="AF39" s="274"/>
      <c r="AG39" s="274"/>
      <c r="AH39" s="274"/>
      <c r="AI39" s="274"/>
      <c r="AJ39" s="274"/>
      <c r="AK39" s="274"/>
      <c r="AL39" s="421">
        <v>41333</v>
      </c>
      <c r="AM39" s="154">
        <f>HLOOKUP(AM$1,'Asset Returns'!$F$1:$ZS$109,ROW(),0)</f>
        <v>1.4882669014298244E-2</v>
      </c>
      <c r="AN39" s="154">
        <f>HLOOKUP(AN$1,'Asset Returns'!$F$1:$ZS$109,ROW(),0)</f>
        <v>1.2822921797951192E-2</v>
      </c>
      <c r="AO39" s="273">
        <f ca="1">IF(IF(Bonds!$J$10="no",AQ39,AS39)=0,NA(),IF(Bonds!$J$10="no",AQ39,AS39))</f>
        <v>-0.12498736259259137</v>
      </c>
      <c r="AP39" s="273">
        <f ca="1">IF(IF(Bonds!$J$10="no",AR39,AT39)=0,NA(),IF(Bonds!$J$10="no",AR39,AT39))</f>
        <v>0.19970923689173462</v>
      </c>
      <c r="AQ39" s="273">
        <f ca="1">Bonds!$P$32</f>
        <v>-0.12498736259259137</v>
      </c>
      <c r="AR39" s="273">
        <f ca="1">Bonds!$P$34</f>
        <v>0.19970923689173462</v>
      </c>
      <c r="AS39" s="274"/>
      <c r="AT39" s="274"/>
      <c r="AU39" s="274"/>
      <c r="AV39" s="421">
        <v>41333</v>
      </c>
      <c r="AW39" s="154">
        <f>HLOOKUP(AW$1,'Asset Returns'!$F$1:$ZS$109,ROW(),0)</f>
        <v>-0.13623979999999999</v>
      </c>
      <c r="AX39" s="154">
        <f>HLOOKUP(AX$1,'Asset Returns'!$F$1:$ZS$109,ROW(),0)</f>
        <v>6.2659999999999994E-4</v>
      </c>
      <c r="AY39" s="154">
        <f>HLOOKUP(AY$1,'Asset Returns'!$F$1:$ZS$109,ROW(),0)</f>
        <v>-3.2477350000000002E-2</v>
      </c>
      <c r="AZ39" s="154">
        <f>HLOOKUP(AZ$1,'Asset Returns'!$F$1:$ZS$109,ROW(),0)</f>
        <v>-1.2911470000000001E-2</v>
      </c>
      <c r="BA39" s="154">
        <f>HLOOKUP(BA$1,'Asset Returns'!$F$1:$ZS$109,ROW(),0)</f>
        <v>-1.2345699999999999E-2</v>
      </c>
      <c r="BB39" s="273" t="e">
        <f>IF(IF(Funds!$J$10="no",BG39,BL39)=0,NA(),IF(Funds!$J$10="no",BG39,BL39))</f>
        <v>#N/A</v>
      </c>
      <c r="BC39" s="273" t="e">
        <f>IF(IF(Funds!$J$10="no",BH39,BM39)=0,NA(),IF(Funds!$J$10="no",BH39,BM39))</f>
        <v>#N/A</v>
      </c>
      <c r="BD39" s="273" t="e">
        <f>IF(IF(Funds!$J$10="no",BI39,BN39)=0,NA(),IF(Funds!$J$10="no",BI39,BN39))</f>
        <v>#N/A</v>
      </c>
      <c r="BE39" s="273" t="e">
        <f>IF(IF(Funds!$J$10="no",BJ39,BO39)=0,NA(),IF(Funds!$J$10="no",BJ39,BO39))</f>
        <v>#N/A</v>
      </c>
      <c r="BF39" s="273" t="e">
        <f>IF(IF(Funds!$J$10="no",BK39,BP39)=0,NA(),IF(Funds!$J$10="no",BK39,BP39))</f>
        <v>#N/A</v>
      </c>
      <c r="BG39" s="274">
        <f ca="1">Funds!$R$34</f>
        <v>2.5919346055080732</v>
      </c>
      <c r="BH39" s="274">
        <f ca="1">Funds!$R$36</f>
        <v>1.3378677483181089E-2</v>
      </c>
      <c r="BI39" s="274">
        <f ca="1">Funds!$R$38</f>
        <v>-0.15972963753204919</v>
      </c>
      <c r="BJ39" s="274">
        <f ca="1">Funds!$R$40</f>
        <v>-0.16887551350866659</v>
      </c>
      <c r="BK39" s="274">
        <f ca="1">Funds!$R$42</f>
        <v>-1.9222891726906419</v>
      </c>
      <c r="BL39" s="274"/>
      <c r="BM39" s="274"/>
      <c r="BN39" s="274"/>
      <c r="BO39" s="274"/>
      <c r="BP39" s="274"/>
      <c r="BR39" s="154" t="s">
        <v>67</v>
      </c>
      <c r="BS39" s="158">
        <v>8.7691000000000002E-3</v>
      </c>
      <c r="BT39" s="154"/>
      <c r="BU39" s="154"/>
      <c r="BX39" s="154"/>
      <c r="BZ39" s="154"/>
      <c r="CA39" s="154"/>
      <c r="CB39" s="154"/>
      <c r="CE39" s="154"/>
      <c r="CG39" s="218"/>
      <c r="CH39" s="154" t="s">
        <v>65</v>
      </c>
      <c r="CI39" s="158">
        <v>-6.8683499999999995E-2</v>
      </c>
      <c r="CJ39" s="153" t="str">
        <f t="shared" si="16"/>
        <v>Jordan</v>
      </c>
      <c r="CK39" s="153" t="s">
        <v>65</v>
      </c>
      <c r="CL39" s="158">
        <v>-4.80907E-2</v>
      </c>
      <c r="CM39" s="153" t="str">
        <f t="shared" si="17"/>
        <v>Jordan</v>
      </c>
      <c r="CN39" s="154"/>
      <c r="CO39" s="209" t="s">
        <v>76</v>
      </c>
      <c r="CP39" s="157">
        <v>-0.16043540000000001</v>
      </c>
      <c r="CQ39" s="210"/>
      <c r="CR39" s="209" t="s">
        <v>73</v>
      </c>
      <c r="CS39" s="158">
        <v>-0.17873600000000001</v>
      </c>
      <c r="CT39" s="154"/>
    </row>
    <row r="40" spans="6:98">
      <c r="F40" s="421">
        <v>41364</v>
      </c>
      <c r="G40" s="272">
        <f>BMG!F40</f>
        <v>-1.4941899999999999E-2</v>
      </c>
      <c r="H40" s="272" t="e">
        <f>IF('Carbon Risk Factor BMG'!$G$10="yes",AVERAGE(AC!$G4:$G39),NA())</f>
        <v>#N/A</v>
      </c>
      <c r="I40" s="272" t="e">
        <f>IF('Carbon Risk Factor BMG'!$G$11="yes",MIN(AC!$G4:$G39),NA())</f>
        <v>#N/A</v>
      </c>
      <c r="J40" s="272" t="e">
        <f>IF('Carbon Risk Factor BMG'!$G$12="yes",MAX(AC!$G4:$G39),NA())</f>
        <v>#N/A</v>
      </c>
      <c r="K40" s="272" t="e">
        <f>IF('Carbon Risk Factor BMG'!$G$13="yes",_xlfn.STDEV.S(AC!$G4:$G39),NA())</f>
        <v>#N/A</v>
      </c>
      <c r="L40" s="272" t="e">
        <f>IF('Carbon Risk Factor BMG'!$G$14="yes",_xlfn.PERCENTILE.INC(AC!$G4:$G39,'Carbon Risk Factor BMG'!$H$14),NA())</f>
        <v>#N/A</v>
      </c>
      <c r="M40" s="272" t="e">
        <f>IF('Carbon Risk Factor BMG'!$G$15="yes",_xlfn.PERCENTILE.INC(AC!$G4:$G39,'Carbon Risk Factor BMG'!$H$15),NA())</f>
        <v>#N/A</v>
      </c>
      <c r="N40" s="272">
        <f t="shared" si="25"/>
        <v>-1.813679248496014E-2</v>
      </c>
      <c r="O40" s="272"/>
      <c r="P40" s="421">
        <v>41364</v>
      </c>
      <c r="Q40" s="154">
        <f>HLOOKUP(Q$1,'Asset Returns'!$F$1:$N$109,ROW(),0)</f>
        <v>-6.3041985034942627E-2</v>
      </c>
      <c r="R40" s="154">
        <f>HLOOKUP(R$1,'Asset Returns'!$F$1:$N$109,ROW(),0)</f>
        <v>1.3098903931677341E-2</v>
      </c>
      <c r="S40" s="154">
        <f>HLOOKUP(S$1,'Asset Returns'!$F$1:$N$109,ROW(),0)</f>
        <v>3.2189022749662399E-2</v>
      </c>
      <c r="T40" s="154">
        <f>HLOOKUP(T$1,'Asset Returns'!$F$1:$N$109,ROW(),0)</f>
        <v>6.2092319130897522E-2</v>
      </c>
      <c r="U40" s="154">
        <f>HLOOKUP(U$1,'Asset Returns'!$F$1:$N$109,ROW(),0)</f>
        <v>0.10697023570537567</v>
      </c>
      <c r="V40" s="273" t="e">
        <f>IF(IF(Equity!$J$10="no",AA40,AF40)=0,NA(),IF(Equity!$J$10="no",AA40,AF40))</f>
        <v>#N/A</v>
      </c>
      <c r="W40" s="273" t="e">
        <f>IF(IF(Equity!$J$10="no",AB40,AG40)=0,NA(),IF(Equity!$J$10="no",AB40,AG40))</f>
        <v>#N/A</v>
      </c>
      <c r="X40" s="273" t="e">
        <f>IF(IF(Equity!$J$10="no",AC40,AH40)=0,NA(),IF(Equity!$J$10="no",AC40,AH40))</f>
        <v>#N/A</v>
      </c>
      <c r="Y40" s="273" t="e">
        <f>IF(IF(Equity!$J$10="no",AD40,AI40)=0,NA(),IF(Equity!$J$10="no",AD40,AI40))</f>
        <v>#N/A</v>
      </c>
      <c r="Z40" s="273" t="e">
        <f>IF(IF(Equity!$J$10="no",AE40,AJ40)=0,NA(),IF(Equity!$J$10="no",AE40,AJ40))</f>
        <v>#N/A</v>
      </c>
      <c r="AA40" s="274">
        <f ca="1">Equity!$R$34</f>
        <v>0.64097224418739052</v>
      </c>
      <c r="AB40" s="274">
        <f ca="1">Equity!$R$36</f>
        <v>-0.78557102570241866</v>
      </c>
      <c r="AC40" s="274">
        <f ca="1">Equity!$R$38</f>
        <v>0.9378377404978776</v>
      </c>
      <c r="AD40" s="274">
        <f ca="1">Equity!$R$40</f>
        <v>0.17519882647973573</v>
      </c>
      <c r="AE40" s="274">
        <f ca="1">Equity!$R$42</f>
        <v>7.3760094442444454E-2</v>
      </c>
      <c r="AF40" s="274"/>
      <c r="AG40" s="274"/>
      <c r="AH40" s="274"/>
      <c r="AI40" s="274"/>
      <c r="AJ40" s="274"/>
      <c r="AK40" s="274"/>
      <c r="AL40" s="421">
        <v>41364</v>
      </c>
      <c r="AM40" s="154">
        <f>HLOOKUP(AM$1,'Asset Returns'!$F$1:$ZS$109,ROW(),0)</f>
        <v>1.0472985604785823E-2</v>
      </c>
      <c r="AN40" s="154">
        <f>HLOOKUP(AN$1,'Asset Returns'!$F$1:$ZS$109,ROW(),0)</f>
        <v>-1.7649595362968507E-3</v>
      </c>
      <c r="AO40" s="273">
        <f ca="1">IF(IF(Bonds!$J$10="no",AQ40,AS40)=0,NA(),IF(Bonds!$J$10="no",AQ40,AS40))</f>
        <v>-0.12498736259259137</v>
      </c>
      <c r="AP40" s="273">
        <f ca="1">IF(IF(Bonds!$J$10="no",AR40,AT40)=0,NA(),IF(Bonds!$J$10="no",AR40,AT40))</f>
        <v>0.19970923689173462</v>
      </c>
      <c r="AQ40" s="273">
        <f ca="1">Bonds!$P$32</f>
        <v>-0.12498736259259137</v>
      </c>
      <c r="AR40" s="273">
        <f ca="1">Bonds!$P$34</f>
        <v>0.19970923689173462</v>
      </c>
      <c r="AS40" s="274"/>
      <c r="AT40" s="274"/>
      <c r="AU40" s="274"/>
      <c r="AV40" s="421">
        <v>41364</v>
      </c>
      <c r="AW40" s="154">
        <f>HLOOKUP(AW$1,'Asset Returns'!$F$1:$ZS$109,ROW(),0)</f>
        <v>-1.0514999999999999E-3</v>
      </c>
      <c r="AX40" s="154">
        <f>HLOOKUP(AX$1,'Asset Returns'!$F$1:$ZS$109,ROW(),0)</f>
        <v>2.3660999999999998E-2</v>
      </c>
      <c r="AY40" s="154">
        <f>HLOOKUP(AY$1,'Asset Returns'!$F$1:$ZS$109,ROW(),0)</f>
        <v>1.8252210000000001E-2</v>
      </c>
      <c r="AZ40" s="154">
        <f>HLOOKUP(AZ$1,'Asset Returns'!$F$1:$ZS$109,ROW(),0)</f>
        <v>1.5814640000000001E-2</v>
      </c>
      <c r="BA40" s="154">
        <f>HLOOKUP(BA$1,'Asset Returns'!$F$1:$ZS$109,ROW(),0)</f>
        <v>-4.60227E-2</v>
      </c>
      <c r="BB40" s="273" t="e">
        <f>IF(IF(Funds!$J$10="no",BG40,BL40)=0,NA(),IF(Funds!$J$10="no",BG40,BL40))</f>
        <v>#N/A</v>
      </c>
      <c r="BC40" s="273" t="e">
        <f>IF(IF(Funds!$J$10="no",BH40,BM40)=0,NA(),IF(Funds!$J$10="no",BH40,BM40))</f>
        <v>#N/A</v>
      </c>
      <c r="BD40" s="273" t="e">
        <f>IF(IF(Funds!$J$10="no",BI40,BN40)=0,NA(),IF(Funds!$J$10="no",BI40,BN40))</f>
        <v>#N/A</v>
      </c>
      <c r="BE40" s="273" t="e">
        <f>IF(IF(Funds!$J$10="no",BJ40,BO40)=0,NA(),IF(Funds!$J$10="no",BJ40,BO40))</f>
        <v>#N/A</v>
      </c>
      <c r="BF40" s="273" t="e">
        <f>IF(IF(Funds!$J$10="no",BK40,BP40)=0,NA(),IF(Funds!$J$10="no",BK40,BP40))</f>
        <v>#N/A</v>
      </c>
      <c r="BG40" s="274">
        <f ca="1">Funds!$R$34</f>
        <v>2.5919346055080732</v>
      </c>
      <c r="BH40" s="274">
        <f ca="1">Funds!$R$36</f>
        <v>1.3378677483181089E-2</v>
      </c>
      <c r="BI40" s="274">
        <f ca="1">Funds!$R$38</f>
        <v>-0.15972963753204919</v>
      </c>
      <c r="BJ40" s="274">
        <f ca="1">Funds!$R$40</f>
        <v>-0.16887551350866659</v>
      </c>
      <c r="BK40" s="274">
        <f ca="1">Funds!$R$42</f>
        <v>-1.9222891726906419</v>
      </c>
      <c r="BL40" s="274"/>
      <c r="BM40" s="274"/>
      <c r="BN40" s="274"/>
      <c r="BO40" s="274"/>
      <c r="BP40" s="274"/>
      <c r="BR40" s="154" t="s">
        <v>68</v>
      </c>
      <c r="BS40" s="158">
        <v>4.9848400000000001E-2</v>
      </c>
      <c r="BT40" s="154"/>
      <c r="BU40" s="154"/>
      <c r="BX40" s="154"/>
      <c r="BZ40" s="154"/>
      <c r="CA40" s="154"/>
      <c r="CB40" s="154"/>
      <c r="CE40" s="154"/>
      <c r="CG40" s="218"/>
      <c r="CH40" s="154" t="s">
        <v>70</v>
      </c>
      <c r="CI40" s="158">
        <v>-8.5502700000000001E-2</v>
      </c>
      <c r="CJ40" s="153" t="str">
        <f t="shared" si="16"/>
        <v>Kazakhstan</v>
      </c>
      <c r="CK40" s="153" t="s">
        <v>70</v>
      </c>
      <c r="CL40" s="158">
        <v>-0.1349369</v>
      </c>
      <c r="CM40" s="153" t="str">
        <f t="shared" si="17"/>
        <v>Kazakhstan</v>
      </c>
      <c r="CN40" s="154"/>
      <c r="CO40" s="209" t="s">
        <v>78</v>
      </c>
      <c r="CP40" s="157">
        <v>0.1707593</v>
      </c>
      <c r="CQ40" s="210"/>
      <c r="CR40" s="209" t="s">
        <v>76</v>
      </c>
      <c r="CS40" s="158">
        <v>-0.16043540000000001</v>
      </c>
      <c r="CT40" s="154"/>
    </row>
    <row r="41" spans="6:98">
      <c r="F41" s="421">
        <v>41394</v>
      </c>
      <c r="G41" s="272">
        <f>BMG!F41</f>
        <v>-2.8190400000000001E-2</v>
      </c>
      <c r="H41" s="272" t="e">
        <f>IF('Carbon Risk Factor BMG'!$G$10="yes",AVERAGE(AC!$G5:$G40),NA())</f>
        <v>#N/A</v>
      </c>
      <c r="I41" s="272" t="e">
        <f>IF('Carbon Risk Factor BMG'!$G$11="yes",MIN(AC!$G5:$G40),NA())</f>
        <v>#N/A</v>
      </c>
      <c r="J41" s="272" t="e">
        <f>IF('Carbon Risk Factor BMG'!$G$12="yes",MAX(AC!$G5:$G40),NA())</f>
        <v>#N/A</v>
      </c>
      <c r="K41" s="272" t="e">
        <f>IF('Carbon Risk Factor BMG'!$G$13="yes",_xlfn.STDEV.S(AC!$G5:$G40),NA())</f>
        <v>#N/A</v>
      </c>
      <c r="L41" s="272" t="e">
        <f>IF('Carbon Risk Factor BMG'!$G$14="yes",_xlfn.PERCENTILE.INC(AC!$G5:$G40,'Carbon Risk Factor BMG'!$H$14),NA())</f>
        <v>#N/A</v>
      </c>
      <c r="M41" s="272" t="e">
        <f>IF('Carbon Risk Factor BMG'!$G$15="yes",_xlfn.PERCENTILE.INC(AC!$G5:$G40,'Carbon Risk Factor BMG'!$H$15),NA())</f>
        <v>#N/A</v>
      </c>
      <c r="N41" s="272">
        <f t="shared" si="25"/>
        <v>-4.581590905009203E-2</v>
      </c>
      <c r="O41" s="272"/>
      <c r="P41" s="421">
        <v>41394</v>
      </c>
      <c r="Q41" s="154">
        <f>HLOOKUP(Q$1,'Asset Returns'!$F$1:$N$109,ROW(),0)</f>
        <v>0.1244472861289978</v>
      </c>
      <c r="R41" s="154">
        <f>HLOOKUP(R$1,'Asset Returns'!$F$1:$N$109,ROW(),0)</f>
        <v>0.12010952830314636</v>
      </c>
      <c r="S41" s="154">
        <f>HLOOKUP(S$1,'Asset Returns'!$F$1:$N$109,ROW(),0)</f>
        <v>3.9482507854700089E-2</v>
      </c>
      <c r="T41" s="154">
        <f>HLOOKUP(T$1,'Asset Returns'!$F$1:$N$109,ROW(),0)</f>
        <v>-5.0445385277271271E-2</v>
      </c>
      <c r="U41" s="154">
        <f>HLOOKUP(U$1,'Asset Returns'!$F$1:$N$109,ROW(),0)</f>
        <v>3.5964608192443848E-2</v>
      </c>
      <c r="V41" s="273" t="e">
        <f>IF(IF(Equity!$J$10="no",AA41,AF41)=0,NA(),IF(Equity!$J$10="no",AA41,AF41))</f>
        <v>#N/A</v>
      </c>
      <c r="W41" s="273" t="e">
        <f>IF(IF(Equity!$J$10="no",AB41,AG41)=0,NA(),IF(Equity!$J$10="no",AB41,AG41))</f>
        <v>#N/A</v>
      </c>
      <c r="X41" s="273" t="e">
        <f>IF(IF(Equity!$J$10="no",AC41,AH41)=0,NA(),IF(Equity!$J$10="no",AC41,AH41))</f>
        <v>#N/A</v>
      </c>
      <c r="Y41" s="273" t="e">
        <f>IF(IF(Equity!$J$10="no",AD41,AI41)=0,NA(),IF(Equity!$J$10="no",AD41,AI41))</f>
        <v>#N/A</v>
      </c>
      <c r="Z41" s="273" t="e">
        <f>IF(IF(Equity!$J$10="no",AE41,AJ41)=0,NA(),IF(Equity!$J$10="no",AE41,AJ41))</f>
        <v>#N/A</v>
      </c>
      <c r="AA41" s="274">
        <f ca="1">Equity!$R$34</f>
        <v>0.64097224418739052</v>
      </c>
      <c r="AB41" s="274">
        <f ca="1">Equity!$R$36</f>
        <v>-0.78557102570241866</v>
      </c>
      <c r="AC41" s="274">
        <f ca="1">Equity!$R$38</f>
        <v>0.9378377404978776</v>
      </c>
      <c r="AD41" s="274">
        <f ca="1">Equity!$R$40</f>
        <v>0.17519882647973573</v>
      </c>
      <c r="AE41" s="274">
        <f ca="1">Equity!$R$42</f>
        <v>7.3760094442444454E-2</v>
      </c>
      <c r="AF41" s="274"/>
      <c r="AG41" s="274"/>
      <c r="AH41" s="274"/>
      <c r="AI41" s="274"/>
      <c r="AJ41" s="274"/>
      <c r="AK41" s="274"/>
      <c r="AL41" s="421">
        <v>41394</v>
      </c>
      <c r="AM41" s="154">
        <f>HLOOKUP(AM$1,'Asset Returns'!$F$1:$ZS$109,ROW(),0)</f>
        <v>1.9307976658735848E-2</v>
      </c>
      <c r="AN41" s="154">
        <f>HLOOKUP(AN$1,'Asset Returns'!$F$1:$ZS$109,ROW(),0)</f>
        <v>2.1483178124026781E-2</v>
      </c>
      <c r="AO41" s="273">
        <f ca="1">IF(IF(Bonds!$J$10="no",AQ41,AS41)=0,NA(),IF(Bonds!$J$10="no",AQ41,AS41))</f>
        <v>-0.12498736259259137</v>
      </c>
      <c r="AP41" s="273">
        <f ca="1">IF(IF(Bonds!$J$10="no",AR41,AT41)=0,NA(),IF(Bonds!$J$10="no",AR41,AT41))</f>
        <v>0.19970923689173462</v>
      </c>
      <c r="AQ41" s="273">
        <f ca="1">Bonds!$P$32</f>
        <v>-0.12498736259259137</v>
      </c>
      <c r="AR41" s="273">
        <f ca="1">Bonds!$P$34</f>
        <v>0.19970923689173462</v>
      </c>
      <c r="AS41" s="274"/>
      <c r="AT41" s="274"/>
      <c r="AU41" s="274"/>
      <c r="AV41" s="421">
        <v>41394</v>
      </c>
      <c r="AW41" s="154">
        <f>HLOOKUP(AW$1,'Asset Returns'!$F$1:$ZS$109,ROW(),0)</f>
        <v>-0.17473680000000003</v>
      </c>
      <c r="AX41" s="154">
        <f>HLOOKUP(AX$1,'Asset Returns'!$F$1:$ZS$109,ROW(),0)</f>
        <v>3.23962E-2</v>
      </c>
      <c r="AY41" s="154">
        <f>HLOOKUP(AY$1,'Asset Returns'!$F$1:$ZS$109,ROW(),0)</f>
        <v>5.0089740000000001E-2</v>
      </c>
      <c r="AZ41" s="154">
        <f>HLOOKUP(AZ$1,'Asset Returns'!$F$1:$ZS$109,ROW(),0)</f>
        <v>3.6036329999999998E-2</v>
      </c>
      <c r="BA41" s="154">
        <f>HLOOKUP(BA$1,'Asset Returns'!$F$1:$ZS$109,ROW(),0)</f>
        <v>6.5515E-3</v>
      </c>
      <c r="BB41" s="273" t="e">
        <f>IF(IF(Funds!$J$10="no",BG41,BL41)=0,NA(),IF(Funds!$J$10="no",BG41,BL41))</f>
        <v>#N/A</v>
      </c>
      <c r="BC41" s="273" t="e">
        <f>IF(IF(Funds!$J$10="no",BH41,BM41)=0,NA(),IF(Funds!$J$10="no",BH41,BM41))</f>
        <v>#N/A</v>
      </c>
      <c r="BD41" s="273" t="e">
        <f>IF(IF(Funds!$J$10="no",BI41,BN41)=0,NA(),IF(Funds!$J$10="no",BI41,BN41))</f>
        <v>#N/A</v>
      </c>
      <c r="BE41" s="273" t="e">
        <f>IF(IF(Funds!$J$10="no",BJ41,BO41)=0,NA(),IF(Funds!$J$10="no",BJ41,BO41))</f>
        <v>#N/A</v>
      </c>
      <c r="BF41" s="273" t="e">
        <f>IF(IF(Funds!$J$10="no",BK41,BP41)=0,NA(),IF(Funds!$J$10="no",BK41,BP41))</f>
        <v>#N/A</v>
      </c>
      <c r="BG41" s="274">
        <f ca="1">Funds!$R$34</f>
        <v>2.5919346055080732</v>
      </c>
      <c r="BH41" s="274">
        <f ca="1">Funds!$R$36</f>
        <v>1.3378677483181089E-2</v>
      </c>
      <c r="BI41" s="274">
        <f ca="1">Funds!$R$38</f>
        <v>-0.15972963753204919</v>
      </c>
      <c r="BJ41" s="274">
        <f ca="1">Funds!$R$40</f>
        <v>-0.16887551350866659</v>
      </c>
      <c r="BK41" s="274">
        <f ca="1">Funds!$R$42</f>
        <v>-1.9222891726906419</v>
      </c>
      <c r="BL41" s="274"/>
      <c r="BM41" s="274"/>
      <c r="BN41" s="274"/>
      <c r="BO41" s="274"/>
      <c r="BP41" s="274"/>
      <c r="BR41" s="154" t="s">
        <v>69</v>
      </c>
      <c r="BS41" s="158">
        <v>-6.6648499999999999E-2</v>
      </c>
      <c r="BT41" s="154"/>
      <c r="BU41" s="154"/>
      <c r="BX41" s="154"/>
      <c r="BZ41" s="154"/>
      <c r="CA41" s="154"/>
      <c r="CB41" s="154"/>
      <c r="CE41" s="154"/>
      <c r="CG41" s="218"/>
      <c r="CH41" s="154" t="s">
        <v>67</v>
      </c>
      <c r="CI41" s="158">
        <v>-1.55246E-2</v>
      </c>
      <c r="CJ41" s="153" t="str">
        <f t="shared" si="16"/>
        <v>Kenya</v>
      </c>
      <c r="CK41" s="153" t="s">
        <v>67</v>
      </c>
      <c r="CL41" s="158">
        <v>1.7929E-2</v>
      </c>
      <c r="CM41" s="153" t="str">
        <f t="shared" si="17"/>
        <v>Kenya</v>
      </c>
      <c r="CN41" s="154"/>
      <c r="CO41" s="209" t="s">
        <v>77</v>
      </c>
      <c r="CP41" s="157">
        <v>0.31423630000000002</v>
      </c>
      <c r="CQ41" s="210"/>
      <c r="CR41" s="209" t="s">
        <v>78</v>
      </c>
      <c r="CS41" s="158">
        <v>9.47572E-2</v>
      </c>
      <c r="CT41" s="154"/>
    </row>
    <row r="42" spans="6:98">
      <c r="F42" s="421">
        <v>41425</v>
      </c>
      <c r="G42" s="272">
        <f>BMG!F42</f>
        <v>-2.2830300000000001E-2</v>
      </c>
      <c r="H42" s="272" t="e">
        <f>IF('Carbon Risk Factor BMG'!$G$10="yes",AVERAGE(AC!$G6:$G41),NA())</f>
        <v>#N/A</v>
      </c>
      <c r="I42" s="272" t="e">
        <f>IF('Carbon Risk Factor BMG'!$G$11="yes",MIN(AC!$G6:$G41),NA())</f>
        <v>#N/A</v>
      </c>
      <c r="J42" s="272" t="e">
        <f>IF('Carbon Risk Factor BMG'!$G$12="yes",MAX(AC!$G6:$G41),NA())</f>
        <v>#N/A</v>
      </c>
      <c r="K42" s="272" t="e">
        <f>IF('Carbon Risk Factor BMG'!$G$13="yes",_xlfn.STDEV.S(AC!$G6:$G41),NA())</f>
        <v>#N/A</v>
      </c>
      <c r="L42" s="272" t="e">
        <f>IF('Carbon Risk Factor BMG'!$G$14="yes",_xlfn.PERCENTILE.INC(AC!$G6:$G41,'Carbon Risk Factor BMG'!$H$14),NA())</f>
        <v>#N/A</v>
      </c>
      <c r="M42" s="272" t="e">
        <f>IF('Carbon Risk Factor BMG'!$G$15="yes",_xlfn.PERCENTILE.INC(AC!$G6:$G41,'Carbon Risk Factor BMG'!$H$15),NA())</f>
        <v>#N/A</v>
      </c>
      <c r="N42" s="272">
        <f t="shared" si="25"/>
        <v>-6.7600218101705689E-2</v>
      </c>
      <c r="O42" s="272"/>
      <c r="P42" s="421">
        <v>41425</v>
      </c>
      <c r="Q42" s="154">
        <f>HLOOKUP(Q$1,'Asset Returns'!$F$1:$N$109,ROW(),0)</f>
        <v>-3.922466654330492E-3</v>
      </c>
      <c r="R42" s="154">
        <f>HLOOKUP(R$1,'Asset Returns'!$F$1:$N$109,ROW(),0)</f>
        <v>2.7980362996459007E-2</v>
      </c>
      <c r="S42" s="154">
        <f>HLOOKUP(S$1,'Asset Returns'!$F$1:$N$109,ROW(),0)</f>
        <v>1.1815414763987064E-3</v>
      </c>
      <c r="T42" s="154">
        <f>HLOOKUP(T$1,'Asset Returns'!$F$1:$N$109,ROW(),0)</f>
        <v>3.1820099800825119E-2</v>
      </c>
      <c r="U42" s="154">
        <f>HLOOKUP(U$1,'Asset Returns'!$F$1:$N$109,ROW(),0)</f>
        <v>-4.8136644065380096E-2</v>
      </c>
      <c r="V42" s="273" t="e">
        <f>IF(IF(Equity!$J$10="no",AA42,AF42)=0,NA(),IF(Equity!$J$10="no",AA42,AF42))</f>
        <v>#N/A</v>
      </c>
      <c r="W42" s="273" t="e">
        <f>IF(IF(Equity!$J$10="no",AB42,AG42)=0,NA(),IF(Equity!$J$10="no",AB42,AG42))</f>
        <v>#N/A</v>
      </c>
      <c r="X42" s="273" t="e">
        <f>IF(IF(Equity!$J$10="no",AC42,AH42)=0,NA(),IF(Equity!$J$10="no",AC42,AH42))</f>
        <v>#N/A</v>
      </c>
      <c r="Y42" s="273" t="e">
        <f>IF(IF(Equity!$J$10="no",AD42,AI42)=0,NA(),IF(Equity!$J$10="no",AD42,AI42))</f>
        <v>#N/A</v>
      </c>
      <c r="Z42" s="273" t="e">
        <f>IF(IF(Equity!$J$10="no",AE42,AJ42)=0,NA(),IF(Equity!$J$10="no",AE42,AJ42))</f>
        <v>#N/A</v>
      </c>
      <c r="AA42" s="274">
        <f ca="1">Equity!$R$34</f>
        <v>0.64097224418739052</v>
      </c>
      <c r="AB42" s="274">
        <f ca="1">Equity!$R$36</f>
        <v>-0.78557102570241866</v>
      </c>
      <c r="AC42" s="274">
        <f ca="1">Equity!$R$38</f>
        <v>0.9378377404978776</v>
      </c>
      <c r="AD42" s="274">
        <f ca="1">Equity!$R$40</f>
        <v>0.17519882647973573</v>
      </c>
      <c r="AE42" s="274">
        <f ca="1">Equity!$R$42</f>
        <v>7.3760094442444454E-2</v>
      </c>
      <c r="AF42" s="274"/>
      <c r="AG42" s="274"/>
      <c r="AH42" s="274"/>
      <c r="AI42" s="274"/>
      <c r="AJ42" s="274"/>
      <c r="AK42" s="274"/>
      <c r="AL42" s="421">
        <v>41425</v>
      </c>
      <c r="AM42" s="154">
        <f>HLOOKUP(AM$1,'Asset Returns'!$F$1:$ZS$109,ROW(),0)</f>
        <v>-3.5125549517368571E-2</v>
      </c>
      <c r="AN42" s="154">
        <f>HLOOKUP(AN$1,'Asset Returns'!$F$1:$ZS$109,ROW(),0)</f>
        <v>-4.9050220541593137E-2</v>
      </c>
      <c r="AO42" s="273">
        <f ca="1">IF(IF(Bonds!$J$10="no",AQ42,AS42)=0,NA(),IF(Bonds!$J$10="no",AQ42,AS42))</f>
        <v>-0.12498736259259137</v>
      </c>
      <c r="AP42" s="273">
        <f ca="1">IF(IF(Bonds!$J$10="no",AR42,AT42)=0,NA(),IF(Bonds!$J$10="no",AR42,AT42))</f>
        <v>0.19970923689173462</v>
      </c>
      <c r="AQ42" s="273">
        <f ca="1">Bonds!$P$32</f>
        <v>-0.12498736259259137</v>
      </c>
      <c r="AR42" s="273">
        <f ca="1">Bonds!$P$34</f>
        <v>0.19970923689173462</v>
      </c>
      <c r="AS42" s="274"/>
      <c r="AT42" s="274"/>
      <c r="AU42" s="274"/>
      <c r="AV42" s="421">
        <v>41425</v>
      </c>
      <c r="AW42" s="154">
        <f>HLOOKUP(AW$1,'Asset Returns'!$F$1:$ZS$109,ROW(),0)</f>
        <v>-6.7601999999999995E-2</v>
      </c>
      <c r="AX42" s="154">
        <f>HLOOKUP(AX$1,'Asset Returns'!$F$1:$ZS$109,ROW(),0)</f>
        <v>1.0242999999999999E-3</v>
      </c>
      <c r="AY42" s="154">
        <f>HLOOKUP(AY$1,'Asset Returns'!$F$1:$ZS$109,ROW(),0)</f>
        <v>6.4903800000000005E-3</v>
      </c>
      <c r="AZ42" s="154">
        <f>HLOOKUP(AZ$1,'Asset Returns'!$F$1:$ZS$109,ROW(),0)</f>
        <v>2.6931050000000002E-2</v>
      </c>
      <c r="BA42" s="154">
        <f>HLOOKUP(BA$1,'Asset Returns'!$F$1:$ZS$109,ROW(),0)</f>
        <v>-5.5029599999999998E-2</v>
      </c>
      <c r="BB42" s="273" t="e">
        <f>IF(IF(Funds!$J$10="no",BG42,BL42)=0,NA(),IF(Funds!$J$10="no",BG42,BL42))</f>
        <v>#N/A</v>
      </c>
      <c r="BC42" s="273" t="e">
        <f>IF(IF(Funds!$J$10="no",BH42,BM42)=0,NA(),IF(Funds!$J$10="no",BH42,BM42))</f>
        <v>#N/A</v>
      </c>
      <c r="BD42" s="273" t="e">
        <f>IF(IF(Funds!$J$10="no",BI42,BN42)=0,NA(),IF(Funds!$J$10="no",BI42,BN42))</f>
        <v>#N/A</v>
      </c>
      <c r="BE42" s="273" t="e">
        <f>IF(IF(Funds!$J$10="no",BJ42,BO42)=0,NA(),IF(Funds!$J$10="no",BJ42,BO42))</f>
        <v>#N/A</v>
      </c>
      <c r="BF42" s="273" t="e">
        <f>IF(IF(Funds!$J$10="no",BK42,BP42)=0,NA(),IF(Funds!$J$10="no",BK42,BP42))</f>
        <v>#N/A</v>
      </c>
      <c r="BG42" s="274">
        <f ca="1">Funds!$R$34</f>
        <v>2.5919346055080732</v>
      </c>
      <c r="BH42" s="274">
        <f ca="1">Funds!$R$36</f>
        <v>1.3378677483181089E-2</v>
      </c>
      <c r="BI42" s="274">
        <f ca="1">Funds!$R$38</f>
        <v>-0.15972963753204919</v>
      </c>
      <c r="BJ42" s="274">
        <f ca="1">Funds!$R$40</f>
        <v>-0.16887551350866659</v>
      </c>
      <c r="BK42" s="274">
        <f ca="1">Funds!$R$42</f>
        <v>-1.9222891726906419</v>
      </c>
      <c r="BL42" s="274"/>
      <c r="BM42" s="274"/>
      <c r="BN42" s="274"/>
      <c r="BO42" s="274"/>
      <c r="BP42" s="274"/>
      <c r="BR42" s="154" t="s">
        <v>70</v>
      </c>
      <c r="BS42" s="158">
        <v>-8.5714399999999996E-2</v>
      </c>
      <c r="BT42" s="154"/>
      <c r="BU42" s="154"/>
      <c r="BX42" s="154"/>
      <c r="BZ42" s="154"/>
      <c r="CA42" s="154"/>
      <c r="CB42" s="154"/>
      <c r="CE42" s="154"/>
      <c r="CG42" s="218"/>
      <c r="CH42" s="154" t="s">
        <v>69</v>
      </c>
      <c r="CI42" s="158">
        <v>-1.42089E-2</v>
      </c>
      <c r="CJ42" s="153" t="str">
        <f t="shared" si="16"/>
        <v>Kuwait</v>
      </c>
      <c r="CK42" s="153" t="s">
        <v>69</v>
      </c>
      <c r="CL42" s="158">
        <v>-3.7110600000000001E-2</v>
      </c>
      <c r="CM42" s="153" t="str">
        <f t="shared" si="17"/>
        <v>Kuwait</v>
      </c>
      <c r="CN42" s="154"/>
      <c r="CO42" s="209" t="s">
        <v>75</v>
      </c>
      <c r="CP42" s="157">
        <v>-0.23275580000000001</v>
      </c>
      <c r="CQ42" s="210"/>
      <c r="CR42" s="209" t="s">
        <v>77</v>
      </c>
      <c r="CS42" s="158">
        <v>0.25648320000000002</v>
      </c>
      <c r="CT42" s="154"/>
    </row>
    <row r="43" spans="6:98">
      <c r="F43" s="421">
        <v>41455</v>
      </c>
      <c r="G43" s="272">
        <f>BMG!F43</f>
        <v>-1.8110299999999999E-2</v>
      </c>
      <c r="H43" s="272" t="e">
        <f>IF('Carbon Risk Factor BMG'!$G$10="yes",AVERAGE(AC!$G7:$G42),NA())</f>
        <v>#N/A</v>
      </c>
      <c r="I43" s="272" t="e">
        <f>IF('Carbon Risk Factor BMG'!$G$11="yes",MIN(AC!$G7:$G42),NA())</f>
        <v>#N/A</v>
      </c>
      <c r="J43" s="272" t="e">
        <f>IF('Carbon Risk Factor BMG'!$G$12="yes",MAX(AC!$G7:$G42),NA())</f>
        <v>#N/A</v>
      </c>
      <c r="K43" s="272" t="e">
        <f>IF('Carbon Risk Factor BMG'!$G$13="yes",_xlfn.STDEV.S(AC!$G7:$G42),NA())</f>
        <v>#N/A</v>
      </c>
      <c r="L43" s="272" t="e">
        <f>IF('Carbon Risk Factor BMG'!$G$14="yes",_xlfn.PERCENTILE.INC(AC!$G7:$G42,'Carbon Risk Factor BMG'!$H$14),NA())</f>
        <v>#N/A</v>
      </c>
      <c r="M43" s="272" t="e">
        <f>IF('Carbon Risk Factor BMG'!$G$15="yes",_xlfn.PERCENTILE.INC(AC!$G7:$G42,'Carbon Risk Factor BMG'!$H$15),NA())</f>
        <v>#N/A</v>
      </c>
      <c r="N43" s="272">
        <f t="shared" si="25"/>
        <v>-8.4486257871818404E-2</v>
      </c>
      <c r="O43" s="272"/>
      <c r="P43" s="421">
        <v>41455</v>
      </c>
      <c r="Q43" s="154">
        <f>HLOOKUP(Q$1,'Asset Returns'!$F$1:$N$109,ROW(),0)</f>
        <v>-0.14655916392803192</v>
      </c>
      <c r="R43" s="154">
        <f>HLOOKUP(R$1,'Asset Returns'!$F$1:$N$109,ROW(),0)</f>
        <v>1.3128357939422131E-2</v>
      </c>
      <c r="S43" s="154">
        <f>HLOOKUP(S$1,'Asset Returns'!$F$1:$N$109,ROW(),0)</f>
        <v>-3.8062058389186859E-2</v>
      </c>
      <c r="T43" s="154">
        <f>HLOOKUP(T$1,'Asset Returns'!$F$1:$N$109,ROW(),0)</f>
        <v>-8.1290267407894135E-2</v>
      </c>
      <c r="U43" s="154">
        <f>HLOOKUP(U$1,'Asset Returns'!$F$1:$N$109,ROW(),0)</f>
        <v>6.1757165938615799E-2</v>
      </c>
      <c r="V43" s="273" t="e">
        <f>IF(IF(Equity!$J$10="no",AA43,AF43)=0,NA(),IF(Equity!$J$10="no",AA43,AF43))</f>
        <v>#N/A</v>
      </c>
      <c r="W43" s="273" t="e">
        <f>IF(IF(Equity!$J$10="no",AB43,AG43)=0,NA(),IF(Equity!$J$10="no",AB43,AG43))</f>
        <v>#N/A</v>
      </c>
      <c r="X43" s="273" t="e">
        <f>IF(IF(Equity!$J$10="no",AC43,AH43)=0,NA(),IF(Equity!$J$10="no",AC43,AH43))</f>
        <v>#N/A</v>
      </c>
      <c r="Y43" s="273" t="e">
        <f>IF(IF(Equity!$J$10="no",AD43,AI43)=0,NA(),IF(Equity!$J$10="no",AD43,AI43))</f>
        <v>#N/A</v>
      </c>
      <c r="Z43" s="273" t="e">
        <f>IF(IF(Equity!$J$10="no",AE43,AJ43)=0,NA(),IF(Equity!$J$10="no",AE43,AJ43))</f>
        <v>#N/A</v>
      </c>
      <c r="AA43" s="274">
        <f ca="1">Equity!$R$34</f>
        <v>0.64097224418739052</v>
      </c>
      <c r="AB43" s="274">
        <f ca="1">Equity!$R$36</f>
        <v>-0.78557102570241866</v>
      </c>
      <c r="AC43" s="274">
        <f ca="1">Equity!$R$38</f>
        <v>0.9378377404978776</v>
      </c>
      <c r="AD43" s="274">
        <f ca="1">Equity!$R$40</f>
        <v>0.17519882647973573</v>
      </c>
      <c r="AE43" s="274">
        <f ca="1">Equity!$R$42</f>
        <v>7.3760094442444454E-2</v>
      </c>
      <c r="AF43" s="274"/>
      <c r="AG43" s="274"/>
      <c r="AH43" s="274"/>
      <c r="AI43" s="274"/>
      <c r="AJ43" s="274"/>
      <c r="AK43" s="274"/>
      <c r="AL43" s="421">
        <v>41455</v>
      </c>
      <c r="AM43" s="154">
        <f>HLOOKUP(AM$1,'Asset Returns'!$F$1:$ZS$109,ROW(),0)</f>
        <v>-2.9120405729270549E-2</v>
      </c>
      <c r="AN43" s="154">
        <f>HLOOKUP(AN$1,'Asset Returns'!$F$1:$ZS$109,ROW(),0)</f>
        <v>-1.2994601526464922E-2</v>
      </c>
      <c r="AO43" s="273">
        <f ca="1">IF(IF(Bonds!$J$10="no",AQ43,AS43)=0,NA(),IF(Bonds!$J$10="no",AQ43,AS43))</f>
        <v>-0.12498736259259137</v>
      </c>
      <c r="AP43" s="273">
        <f ca="1">IF(IF(Bonds!$J$10="no",AR43,AT43)=0,NA(),IF(Bonds!$J$10="no",AR43,AT43))</f>
        <v>0.19970923689173462</v>
      </c>
      <c r="AQ43" s="273">
        <f ca="1">Bonds!$P$32</f>
        <v>-0.12498736259259137</v>
      </c>
      <c r="AR43" s="273">
        <f ca="1">Bonds!$P$34</f>
        <v>0.19970923689173462</v>
      </c>
      <c r="AS43" s="274"/>
      <c r="AT43" s="274"/>
      <c r="AU43" s="274"/>
      <c r="AV43" s="421">
        <v>41455</v>
      </c>
      <c r="AW43" s="154">
        <f>HLOOKUP(AW$1,'Asset Returns'!$F$1:$ZS$109,ROW(),0)</f>
        <v>-0.1805746</v>
      </c>
      <c r="AX43" s="154">
        <f>HLOOKUP(AX$1,'Asset Returns'!$F$1:$ZS$109,ROW(),0)</f>
        <v>-2.5107599999999997E-2</v>
      </c>
      <c r="AY43" s="154">
        <f>HLOOKUP(AY$1,'Asset Returns'!$F$1:$ZS$109,ROW(),0)</f>
        <v>-4.9851609999999998E-2</v>
      </c>
      <c r="AZ43" s="154">
        <f>HLOOKUP(AZ$1,'Asset Returns'!$F$1:$ZS$109,ROW(),0)</f>
        <v>-2.7691029999999998E-2</v>
      </c>
      <c r="BA43" s="154">
        <f>HLOOKUP(BA$1,'Asset Returns'!$F$1:$ZS$109,ROW(),0)</f>
        <v>3.3500299999999997E-2</v>
      </c>
      <c r="BB43" s="273" t="e">
        <f>IF(IF(Funds!$J$10="no",BG43,BL43)=0,NA(),IF(Funds!$J$10="no",BG43,BL43))</f>
        <v>#N/A</v>
      </c>
      <c r="BC43" s="273" t="e">
        <f>IF(IF(Funds!$J$10="no",BH43,BM43)=0,NA(),IF(Funds!$J$10="no",BH43,BM43))</f>
        <v>#N/A</v>
      </c>
      <c r="BD43" s="273" t="e">
        <f>IF(IF(Funds!$J$10="no",BI43,BN43)=0,NA(),IF(Funds!$J$10="no",BI43,BN43))</f>
        <v>#N/A</v>
      </c>
      <c r="BE43" s="273" t="e">
        <f>IF(IF(Funds!$J$10="no",BJ43,BO43)=0,NA(),IF(Funds!$J$10="no",BJ43,BO43))</f>
        <v>#N/A</v>
      </c>
      <c r="BF43" s="273" t="e">
        <f>IF(IF(Funds!$J$10="no",BK43,BP43)=0,NA(),IF(Funds!$J$10="no",BK43,BP43))</f>
        <v>#N/A</v>
      </c>
      <c r="BG43" s="274">
        <f ca="1">Funds!$R$34</f>
        <v>2.5919346055080732</v>
      </c>
      <c r="BH43" s="274">
        <f ca="1">Funds!$R$36</f>
        <v>1.3378677483181089E-2</v>
      </c>
      <c r="BI43" s="274">
        <f ca="1">Funds!$R$38</f>
        <v>-0.15972963753204919</v>
      </c>
      <c r="BJ43" s="274">
        <f ca="1">Funds!$R$40</f>
        <v>-0.16887551350866659</v>
      </c>
      <c r="BK43" s="274">
        <f ca="1">Funds!$R$42</f>
        <v>-1.9222891726906419</v>
      </c>
      <c r="BL43" s="274"/>
      <c r="BM43" s="274"/>
      <c r="BN43" s="274"/>
      <c r="BO43" s="274"/>
      <c r="BP43" s="274"/>
      <c r="BR43" s="154" t="s">
        <v>71</v>
      </c>
      <c r="BS43" s="158">
        <v>6.7186099999999999E-2</v>
      </c>
      <c r="BT43" s="154"/>
      <c r="BU43" s="154"/>
      <c r="BX43" s="154"/>
      <c r="BZ43" s="154"/>
      <c r="CA43" s="154"/>
      <c r="CB43" s="154"/>
      <c r="CE43" s="154"/>
      <c r="CG43" s="218"/>
      <c r="CH43" s="154" t="s">
        <v>120</v>
      </c>
      <c r="CI43" s="158">
        <v>-0.29317979999999999</v>
      </c>
      <c r="CJ43" s="153" t="e">
        <f t="shared" si="16"/>
        <v>#N/A</v>
      </c>
      <c r="CK43" s="153" t="s">
        <v>120</v>
      </c>
      <c r="CL43" s="158">
        <v>-0.29317979999999999</v>
      </c>
      <c r="CM43" s="153" t="e">
        <f t="shared" si="17"/>
        <v>#N/A</v>
      </c>
      <c r="CN43" s="154"/>
      <c r="CO43" s="209" t="s">
        <v>80</v>
      </c>
      <c r="CP43" s="157">
        <v>-0.71786989999999995</v>
      </c>
      <c r="CQ43" s="210"/>
      <c r="CR43" s="209" t="s">
        <v>75</v>
      </c>
      <c r="CS43" s="158">
        <v>-0.24999879999999999</v>
      </c>
      <c r="CT43" s="154"/>
    </row>
    <row r="44" spans="6:98">
      <c r="F44" s="421">
        <v>41486</v>
      </c>
      <c r="G44" s="272">
        <f>BMG!F44</f>
        <v>-4.3425E-3</v>
      </c>
      <c r="H44" s="272" t="e">
        <f>IF('Carbon Risk Factor BMG'!$G$10="yes",AVERAGE(AC!$G8:$G43),NA())</f>
        <v>#N/A</v>
      </c>
      <c r="I44" s="272" t="e">
        <f>IF('Carbon Risk Factor BMG'!$G$11="yes",MIN(AC!$G8:$G43),NA())</f>
        <v>#N/A</v>
      </c>
      <c r="J44" s="272" t="e">
        <f>IF('Carbon Risk Factor BMG'!$G$12="yes",MAX(AC!$G8:$G43),NA())</f>
        <v>#N/A</v>
      </c>
      <c r="K44" s="272" t="e">
        <f>IF('Carbon Risk Factor BMG'!$G$13="yes",_xlfn.STDEV.S(AC!$G8:$G43),NA())</f>
        <v>#N/A</v>
      </c>
      <c r="L44" s="272" t="e">
        <f>IF('Carbon Risk Factor BMG'!$G$14="yes",_xlfn.PERCENTILE.INC(AC!$G8:$G43,'Carbon Risk Factor BMG'!$H$14),NA())</f>
        <v>#N/A</v>
      </c>
      <c r="M44" s="272" t="e">
        <f>IF('Carbon Risk Factor BMG'!$G$15="yes",_xlfn.PERCENTILE.INC(AC!$G8:$G43,'Carbon Risk Factor BMG'!$H$15),NA())</f>
        <v>#N/A</v>
      </c>
      <c r="N44" s="272">
        <f t="shared" si="25"/>
        <v>-8.8461876297010078E-2</v>
      </c>
      <c r="O44" s="272"/>
      <c r="P44" s="421">
        <v>41486</v>
      </c>
      <c r="Q44" s="154">
        <f>HLOOKUP(Q$1,'Asset Returns'!$F$1:$N$109,ROW(),0)</f>
        <v>1.6352223232388496E-2</v>
      </c>
      <c r="R44" s="154">
        <f>HLOOKUP(R$1,'Asset Returns'!$F$1:$N$109,ROW(),0)</f>
        <v>6.5935566090047359E-3</v>
      </c>
      <c r="S44" s="154">
        <f>HLOOKUP(S$1,'Asset Returns'!$F$1:$N$109,ROW(),0)</f>
        <v>-1.9614554475992918E-3</v>
      </c>
      <c r="T44" s="154">
        <f>HLOOKUP(T$1,'Asset Returns'!$F$1:$N$109,ROW(),0)</f>
        <v>2.056407742202282E-2</v>
      </c>
      <c r="U44" s="154">
        <f>HLOOKUP(U$1,'Asset Returns'!$F$1:$N$109,ROW(),0)</f>
        <v>3.7752415984869003E-2</v>
      </c>
      <c r="V44" s="273" t="e">
        <f>IF(IF(Equity!$J$10="no",AA44,AF44)=0,NA(),IF(Equity!$J$10="no",AA44,AF44))</f>
        <v>#N/A</v>
      </c>
      <c r="W44" s="273" t="e">
        <f>IF(IF(Equity!$J$10="no",AB44,AG44)=0,NA(),IF(Equity!$J$10="no",AB44,AG44))</f>
        <v>#N/A</v>
      </c>
      <c r="X44" s="273" t="e">
        <f>IF(IF(Equity!$J$10="no",AC44,AH44)=0,NA(),IF(Equity!$J$10="no",AC44,AH44))</f>
        <v>#N/A</v>
      </c>
      <c r="Y44" s="273" t="e">
        <f>IF(IF(Equity!$J$10="no",AD44,AI44)=0,NA(),IF(Equity!$J$10="no",AD44,AI44))</f>
        <v>#N/A</v>
      </c>
      <c r="Z44" s="273" t="e">
        <f>IF(IF(Equity!$J$10="no",AE44,AJ44)=0,NA(),IF(Equity!$J$10="no",AE44,AJ44))</f>
        <v>#N/A</v>
      </c>
      <c r="AA44" s="274">
        <f ca="1">Equity!$R$34</f>
        <v>0.64097224418739052</v>
      </c>
      <c r="AB44" s="274">
        <f ca="1">Equity!$R$36</f>
        <v>-0.78557102570241866</v>
      </c>
      <c r="AC44" s="274">
        <f ca="1">Equity!$R$38</f>
        <v>0.9378377404978776</v>
      </c>
      <c r="AD44" s="274">
        <f ca="1">Equity!$R$40</f>
        <v>0.17519882647973573</v>
      </c>
      <c r="AE44" s="274">
        <f ca="1">Equity!$R$42</f>
        <v>7.3760094442444454E-2</v>
      </c>
      <c r="AF44" s="274"/>
      <c r="AG44" s="274"/>
      <c r="AH44" s="274"/>
      <c r="AI44" s="274"/>
      <c r="AJ44" s="274"/>
      <c r="AK44" s="274"/>
      <c r="AL44" s="421">
        <v>41486</v>
      </c>
      <c r="AM44" s="154">
        <f>HLOOKUP(AM$1,'Asset Returns'!$F$1:$ZS$109,ROW(),0)</f>
        <v>-6.2002766873472392E-3</v>
      </c>
      <c r="AN44" s="154">
        <f>HLOOKUP(AN$1,'Asset Returns'!$F$1:$ZS$109,ROW(),0)</f>
        <v>-1.3673870333988258E-2</v>
      </c>
      <c r="AO44" s="273">
        <f ca="1">IF(IF(Bonds!$J$10="no",AQ44,AS44)=0,NA(),IF(Bonds!$J$10="no",AQ44,AS44))</f>
        <v>-0.12498736259259137</v>
      </c>
      <c r="AP44" s="273">
        <f ca="1">IF(IF(Bonds!$J$10="no",AR44,AT44)=0,NA(),IF(Bonds!$J$10="no",AR44,AT44))</f>
        <v>0.19970923689173462</v>
      </c>
      <c r="AQ44" s="273">
        <f ca="1">Bonds!$P$32</f>
        <v>-0.12498736259259137</v>
      </c>
      <c r="AR44" s="273">
        <f ca="1">Bonds!$P$34</f>
        <v>0.19970923689173462</v>
      </c>
      <c r="AS44" s="274"/>
      <c r="AT44" s="274"/>
      <c r="AU44" s="274"/>
      <c r="AV44" s="421">
        <v>41486</v>
      </c>
      <c r="AW44" s="154">
        <f>HLOOKUP(AW$1,'Asset Returns'!$F$1:$ZS$109,ROW(),0)</f>
        <v>0.1218698</v>
      </c>
      <c r="AX44" s="154">
        <f>HLOOKUP(AX$1,'Asset Returns'!$F$1:$ZS$109,ROW(),0)</f>
        <v>5.2551399999999998E-2</v>
      </c>
      <c r="AY44" s="154">
        <f>HLOOKUP(AY$1,'Asset Returns'!$F$1:$ZS$109,ROW(),0)</f>
        <v>6.5608410000000006E-2</v>
      </c>
      <c r="AZ44" s="154">
        <f>HLOOKUP(AZ$1,'Asset Returns'!$F$1:$ZS$109,ROW(),0)</f>
        <v>3.9525489999999996E-2</v>
      </c>
      <c r="BA44" s="154">
        <f>HLOOKUP(BA$1,'Asset Returns'!$F$1:$ZS$109,ROW(),0)</f>
        <v>-0.1002726</v>
      </c>
      <c r="BB44" s="273" t="e">
        <f>IF(IF(Funds!$J$10="no",BG44,BL44)=0,NA(),IF(Funds!$J$10="no",BG44,BL44))</f>
        <v>#N/A</v>
      </c>
      <c r="BC44" s="273" t="e">
        <f>IF(IF(Funds!$J$10="no",BH44,BM44)=0,NA(),IF(Funds!$J$10="no",BH44,BM44))</f>
        <v>#N/A</v>
      </c>
      <c r="BD44" s="273" t="e">
        <f>IF(IF(Funds!$J$10="no",BI44,BN44)=0,NA(),IF(Funds!$J$10="no",BI44,BN44))</f>
        <v>#N/A</v>
      </c>
      <c r="BE44" s="273" t="e">
        <f>IF(IF(Funds!$J$10="no",BJ44,BO44)=0,NA(),IF(Funds!$J$10="no",BJ44,BO44))</f>
        <v>#N/A</v>
      </c>
      <c r="BF44" s="273" t="e">
        <f>IF(IF(Funds!$J$10="no",BK44,BP44)=0,NA(),IF(Funds!$J$10="no",BK44,BP44))</f>
        <v>#N/A</v>
      </c>
      <c r="BG44" s="274">
        <f ca="1">Funds!$R$34</f>
        <v>2.5919346055080732</v>
      </c>
      <c r="BH44" s="274">
        <f ca="1">Funds!$R$36</f>
        <v>1.3378677483181089E-2</v>
      </c>
      <c r="BI44" s="274">
        <f ca="1">Funds!$R$38</f>
        <v>-0.15972963753204919</v>
      </c>
      <c r="BJ44" s="274">
        <f ca="1">Funds!$R$40</f>
        <v>-0.16887551350866659</v>
      </c>
      <c r="BK44" s="274">
        <f ca="1">Funds!$R$42</f>
        <v>-1.9222891726906419</v>
      </c>
      <c r="BL44" s="274"/>
      <c r="BM44" s="274"/>
      <c r="BN44" s="274"/>
      <c r="BO44" s="274"/>
      <c r="BP44" s="274"/>
      <c r="BR44" s="154" t="s">
        <v>72</v>
      </c>
      <c r="BS44" s="158">
        <v>-0.3850363</v>
      </c>
      <c r="BT44" s="154"/>
      <c r="BU44" s="154"/>
      <c r="BX44" s="154"/>
      <c r="BZ44" s="154"/>
      <c r="CA44" s="154"/>
      <c r="CB44" s="154"/>
      <c r="CE44" s="154"/>
      <c r="CG44" s="218"/>
      <c r="CH44" s="154" t="s">
        <v>72</v>
      </c>
      <c r="CI44" s="158">
        <v>-0.55082180000000003</v>
      </c>
      <c r="CJ44" s="153" t="str">
        <f t="shared" si="16"/>
        <v>Lithuania</v>
      </c>
      <c r="CK44" s="153" t="s">
        <v>72</v>
      </c>
      <c r="CL44" s="158">
        <v>-0.46777990000000003</v>
      </c>
      <c r="CM44" s="153" t="str">
        <f t="shared" si="17"/>
        <v>Lithuania</v>
      </c>
      <c r="CN44" s="154"/>
      <c r="CO44" s="209" t="s">
        <v>82</v>
      </c>
      <c r="CP44" s="157">
        <v>5.0691600000000003E-2</v>
      </c>
      <c r="CQ44" s="210"/>
      <c r="CR44" s="209" t="s">
        <v>80</v>
      </c>
      <c r="CS44" s="158">
        <v>-0.65324839999999995</v>
      </c>
      <c r="CT44" s="154"/>
    </row>
    <row r="45" spans="6:98">
      <c r="F45" s="421">
        <v>41517</v>
      </c>
      <c r="G45" s="272">
        <f>BMG!F45</f>
        <v>7.2348999999999998E-3</v>
      </c>
      <c r="H45" s="272" t="e">
        <f>IF('Carbon Risk Factor BMG'!$G$10="yes",AVERAGE(AC!$G9:$G44),NA())</f>
        <v>#N/A</v>
      </c>
      <c r="I45" s="272" t="e">
        <f>IF('Carbon Risk Factor BMG'!$G$11="yes",MIN(AC!$G9:$G44),NA())</f>
        <v>#N/A</v>
      </c>
      <c r="J45" s="272" t="e">
        <f>IF('Carbon Risk Factor BMG'!$G$12="yes",MAX(AC!$G9:$G44),NA())</f>
        <v>#N/A</v>
      </c>
      <c r="K45" s="272" t="e">
        <f>IF('Carbon Risk Factor BMG'!$G$13="yes",_xlfn.STDEV.S(AC!$G9:$G44),NA())</f>
        <v>#N/A</v>
      </c>
      <c r="L45" s="272" t="e">
        <f>IF('Carbon Risk Factor BMG'!$G$14="yes",_xlfn.PERCENTILE.INC(AC!$G9:$G44,'Carbon Risk Factor BMG'!$H$14),NA())</f>
        <v>#N/A</v>
      </c>
      <c r="M45" s="272" t="e">
        <f>IF('Carbon Risk Factor BMG'!$G$15="yes",_xlfn.PERCENTILE.INC(AC!$G9:$G44,'Carbon Risk Factor BMG'!$H$15),NA())</f>
        <v>#N/A</v>
      </c>
      <c r="N45" s="272">
        <f t="shared" si="25"/>
        <v>-8.1866989125831235E-2</v>
      </c>
      <c r="O45" s="272"/>
      <c r="P45" s="421">
        <v>41517</v>
      </c>
      <c r="Q45" s="154">
        <f>HLOOKUP(Q$1,'Asset Returns'!$F$1:$N$109,ROW(),0)</f>
        <v>-5.1967434585094452E-2</v>
      </c>
      <c r="R45" s="154">
        <f>HLOOKUP(R$1,'Asset Returns'!$F$1:$N$109,ROW(),0)</f>
        <v>-2.5930549018085003E-3</v>
      </c>
      <c r="S45" s="154">
        <f>HLOOKUP(S$1,'Asset Returns'!$F$1:$N$109,ROW(),0)</f>
        <v>1.4627302065491676E-2</v>
      </c>
      <c r="T45" s="154">
        <f>HLOOKUP(T$1,'Asset Returns'!$F$1:$N$109,ROW(),0)</f>
        <v>-6.0765434056520462E-2</v>
      </c>
      <c r="U45" s="154">
        <f>HLOOKUP(U$1,'Asset Returns'!$F$1:$N$109,ROW(),0)</f>
        <v>-3.236040472984314E-2</v>
      </c>
      <c r="V45" s="273" t="e">
        <f>IF(IF(Equity!$J$10="no",AA45,AF45)=0,NA(),IF(Equity!$J$10="no",AA45,AF45))</f>
        <v>#N/A</v>
      </c>
      <c r="W45" s="273" t="e">
        <f>IF(IF(Equity!$J$10="no",AB45,AG45)=0,NA(),IF(Equity!$J$10="no",AB45,AG45))</f>
        <v>#N/A</v>
      </c>
      <c r="X45" s="273" t="e">
        <f>IF(IF(Equity!$J$10="no",AC45,AH45)=0,NA(),IF(Equity!$J$10="no",AC45,AH45))</f>
        <v>#N/A</v>
      </c>
      <c r="Y45" s="273" t="e">
        <f>IF(IF(Equity!$J$10="no",AD45,AI45)=0,NA(),IF(Equity!$J$10="no",AD45,AI45))</f>
        <v>#N/A</v>
      </c>
      <c r="Z45" s="273" t="e">
        <f>IF(IF(Equity!$J$10="no",AE45,AJ45)=0,NA(),IF(Equity!$J$10="no",AE45,AJ45))</f>
        <v>#N/A</v>
      </c>
      <c r="AA45" s="274">
        <f ca="1">Equity!$R$34</f>
        <v>0.64097224418739052</v>
      </c>
      <c r="AB45" s="274">
        <f ca="1">Equity!$R$36</f>
        <v>-0.78557102570241866</v>
      </c>
      <c r="AC45" s="274">
        <f ca="1">Equity!$R$38</f>
        <v>0.9378377404978776</v>
      </c>
      <c r="AD45" s="274">
        <f ca="1">Equity!$R$40</f>
        <v>0.17519882647973573</v>
      </c>
      <c r="AE45" s="274">
        <f ca="1">Equity!$R$42</f>
        <v>7.3760094442444454E-2</v>
      </c>
      <c r="AF45" s="274"/>
      <c r="AG45" s="274"/>
      <c r="AH45" s="274"/>
      <c r="AI45" s="274"/>
      <c r="AJ45" s="274"/>
      <c r="AK45" s="274"/>
      <c r="AL45" s="421">
        <v>41517</v>
      </c>
      <c r="AM45" s="154">
        <f>HLOOKUP(AM$1,'Asset Returns'!$F$1:$ZS$109,ROW(),0)</f>
        <v>-2.2417363025583503E-2</v>
      </c>
      <c r="AN45" s="154">
        <f>HLOOKUP(AN$1,'Asset Returns'!$F$1:$ZS$109,ROW(),0)</f>
        <v>-1.1143866358590215E-2</v>
      </c>
      <c r="AO45" s="273">
        <f ca="1">IF(IF(Bonds!$J$10="no",AQ45,AS45)=0,NA(),IF(Bonds!$J$10="no",AQ45,AS45))</f>
        <v>-0.12498736259259137</v>
      </c>
      <c r="AP45" s="273">
        <f ca="1">IF(IF(Bonds!$J$10="no",AR45,AT45)=0,NA(),IF(Bonds!$J$10="no",AR45,AT45))</f>
        <v>0.19970923689173462</v>
      </c>
      <c r="AQ45" s="273">
        <f ca="1">Bonds!$P$32</f>
        <v>-0.12498736259259137</v>
      </c>
      <c r="AR45" s="273">
        <f ca="1">Bonds!$P$34</f>
        <v>0.19970923689173462</v>
      </c>
      <c r="AS45" s="274"/>
      <c r="AT45" s="274"/>
      <c r="AU45" s="274"/>
      <c r="AV45" s="421">
        <v>41517</v>
      </c>
      <c r="AW45" s="154">
        <f>HLOOKUP(AW$1,'Asset Returns'!$F$1:$ZS$109,ROW(),0)</f>
        <v>8.779759999999999E-2</v>
      </c>
      <c r="AX45" s="154">
        <f>HLOOKUP(AX$1,'Asset Returns'!$F$1:$ZS$109,ROW(),0)</f>
        <v>-2.1673499999999998E-2</v>
      </c>
      <c r="AY45" s="154">
        <f>HLOOKUP(AY$1,'Asset Returns'!$F$1:$ZS$109,ROW(),0)</f>
        <v>-9.0683400000000011E-3</v>
      </c>
      <c r="AZ45" s="154">
        <f>HLOOKUP(AZ$1,'Asset Returns'!$F$1:$ZS$109,ROW(),0)</f>
        <v>-2.6109469999999999E-2</v>
      </c>
      <c r="BA45" s="154">
        <f>HLOOKUP(BA$1,'Asset Returns'!$F$1:$ZS$109,ROW(),0)</f>
        <v>2.7609400000000003E-2</v>
      </c>
      <c r="BB45" s="273" t="e">
        <f>IF(IF(Funds!$J$10="no",BG45,BL45)=0,NA(),IF(Funds!$J$10="no",BG45,BL45))</f>
        <v>#N/A</v>
      </c>
      <c r="BC45" s="273" t="e">
        <f>IF(IF(Funds!$J$10="no",BH45,BM45)=0,NA(),IF(Funds!$J$10="no",BH45,BM45))</f>
        <v>#N/A</v>
      </c>
      <c r="BD45" s="273" t="e">
        <f>IF(IF(Funds!$J$10="no",BI45,BN45)=0,NA(),IF(Funds!$J$10="no",BI45,BN45))</f>
        <v>#N/A</v>
      </c>
      <c r="BE45" s="273" t="e">
        <f>IF(IF(Funds!$J$10="no",BJ45,BO45)=0,NA(),IF(Funds!$J$10="no",BJ45,BO45))</f>
        <v>#N/A</v>
      </c>
      <c r="BF45" s="273" t="e">
        <f>IF(IF(Funds!$J$10="no",BK45,BP45)=0,NA(),IF(Funds!$J$10="no",BK45,BP45))</f>
        <v>#N/A</v>
      </c>
      <c r="BG45" s="274">
        <f ca="1">Funds!$R$34</f>
        <v>2.5919346055080732</v>
      </c>
      <c r="BH45" s="274">
        <f ca="1">Funds!$R$36</f>
        <v>1.3378677483181089E-2</v>
      </c>
      <c r="BI45" s="274">
        <f ca="1">Funds!$R$38</f>
        <v>-0.15972963753204919</v>
      </c>
      <c r="BJ45" s="274">
        <f ca="1">Funds!$R$40</f>
        <v>-0.16887551350866659</v>
      </c>
      <c r="BK45" s="274">
        <f ca="1">Funds!$R$42</f>
        <v>-1.9222891726906419</v>
      </c>
      <c r="BL45" s="274"/>
      <c r="BM45" s="274"/>
      <c r="BN45" s="274"/>
      <c r="BO45" s="274"/>
      <c r="BP45" s="274"/>
      <c r="BR45" s="154" t="s">
        <v>73</v>
      </c>
      <c r="BS45" s="158">
        <v>-0.37341380000000002</v>
      </c>
      <c r="BT45" s="154"/>
      <c r="BU45" s="154"/>
      <c r="BX45" s="154"/>
      <c r="BZ45" s="154"/>
      <c r="CA45" s="154"/>
      <c r="CB45" s="154"/>
      <c r="CE45" s="154"/>
      <c r="CG45" s="218"/>
      <c r="CH45" s="154" t="s">
        <v>76</v>
      </c>
      <c r="CI45" s="158">
        <v>-0.16043540000000001</v>
      </c>
      <c r="CJ45" s="153" t="str">
        <f t="shared" si="16"/>
        <v>Macedonia</v>
      </c>
      <c r="CK45" s="153" t="s">
        <v>73</v>
      </c>
      <c r="CL45" s="158">
        <v>-0.17873600000000001</v>
      </c>
      <c r="CM45" s="153" t="str">
        <f t="shared" si="17"/>
        <v>Luxembourg</v>
      </c>
      <c r="CN45" s="154"/>
      <c r="CO45" s="209" t="s">
        <v>79</v>
      </c>
      <c r="CP45" s="157">
        <v>-5.5140000000000002E-2</v>
      </c>
      <c r="CQ45" s="210"/>
      <c r="CR45" s="209" t="s">
        <v>82</v>
      </c>
      <c r="CS45" s="158">
        <v>0.11114789999999999</v>
      </c>
      <c r="CT45" s="154"/>
    </row>
    <row r="46" spans="6:98">
      <c r="F46" s="421">
        <v>41547</v>
      </c>
      <c r="G46" s="272">
        <f>BMG!F46</f>
        <v>-1.92757E-2</v>
      </c>
      <c r="H46" s="272" t="e">
        <f>IF('Carbon Risk Factor BMG'!$G$10="yes",AVERAGE(AC!$G10:$G45),NA())</f>
        <v>#N/A</v>
      </c>
      <c r="I46" s="272" t="e">
        <f>IF('Carbon Risk Factor BMG'!$G$11="yes",MIN(AC!$G10:$G45),NA())</f>
        <v>#N/A</v>
      </c>
      <c r="J46" s="272" t="e">
        <f>IF('Carbon Risk Factor BMG'!$G$12="yes",MAX(AC!$G10:$G45),NA())</f>
        <v>#N/A</v>
      </c>
      <c r="K46" s="272" t="e">
        <f>IF('Carbon Risk Factor BMG'!$G$13="yes",_xlfn.STDEV.S(AC!$G10:$G45),NA())</f>
        <v>#N/A</v>
      </c>
      <c r="L46" s="272" t="e">
        <f>IF('Carbon Risk Factor BMG'!$G$14="yes",_xlfn.PERCENTILE.INC(AC!$G10:$G45,'Carbon Risk Factor BMG'!$H$14),NA())</f>
        <v>#N/A</v>
      </c>
      <c r="M46" s="272" t="e">
        <f>IF('Carbon Risk Factor BMG'!$G$15="yes",_xlfn.PERCENTILE.INC(AC!$G10:$G45,'Carbon Risk Factor BMG'!$H$15),NA())</f>
        <v>#N/A</v>
      </c>
      <c r="N46" s="272">
        <f t="shared" si="25"/>
        <v>-9.9564645603538504E-2</v>
      </c>
      <c r="O46" s="272"/>
      <c r="P46" s="421">
        <v>41547</v>
      </c>
      <c r="Q46" s="154">
        <f>HLOOKUP(Q$1,'Asset Returns'!$F$1:$N$109,ROW(),0)</f>
        <v>0.17260713875293732</v>
      </c>
      <c r="R46" s="154">
        <f>HLOOKUP(R$1,'Asset Returns'!$F$1:$N$109,ROW(),0)</f>
        <v>6.5984383225440979E-2</v>
      </c>
      <c r="S46" s="154">
        <f>HLOOKUP(S$1,'Asset Returns'!$F$1:$N$109,ROW(),0)</f>
        <v>1.6130682080984116E-2</v>
      </c>
      <c r="T46" s="154">
        <f>HLOOKUP(T$1,'Asset Returns'!$F$1:$N$109,ROW(),0)</f>
        <v>1.5965325757861137E-2</v>
      </c>
      <c r="U46" s="154">
        <f>HLOOKUP(U$1,'Asset Returns'!$F$1:$N$109,ROW(),0)</f>
        <v>0.13530054688453674</v>
      </c>
      <c r="V46" s="273" t="e">
        <f>IF(IF(Equity!$J$10="no",AA46,AF46)=0,NA(),IF(Equity!$J$10="no",AA46,AF46))</f>
        <v>#N/A</v>
      </c>
      <c r="W46" s="273" t="e">
        <f>IF(IF(Equity!$J$10="no",AB46,AG46)=0,NA(),IF(Equity!$J$10="no",AB46,AG46))</f>
        <v>#N/A</v>
      </c>
      <c r="X46" s="273" t="e">
        <f>IF(IF(Equity!$J$10="no",AC46,AH46)=0,NA(),IF(Equity!$J$10="no",AC46,AH46))</f>
        <v>#N/A</v>
      </c>
      <c r="Y46" s="273" t="e">
        <f>IF(IF(Equity!$J$10="no",AD46,AI46)=0,NA(),IF(Equity!$J$10="no",AD46,AI46))</f>
        <v>#N/A</v>
      </c>
      <c r="Z46" s="273" t="e">
        <f>IF(IF(Equity!$J$10="no",AE46,AJ46)=0,NA(),IF(Equity!$J$10="no",AE46,AJ46))</f>
        <v>#N/A</v>
      </c>
      <c r="AA46" s="274">
        <f ca="1">Equity!$R$34</f>
        <v>0.64097224418739052</v>
      </c>
      <c r="AB46" s="274">
        <f ca="1">Equity!$R$36</f>
        <v>-0.78557102570241866</v>
      </c>
      <c r="AC46" s="274">
        <f ca="1">Equity!$R$38</f>
        <v>0.9378377404978776</v>
      </c>
      <c r="AD46" s="274">
        <f ca="1">Equity!$R$40</f>
        <v>0.17519882647973573</v>
      </c>
      <c r="AE46" s="274">
        <f ca="1">Equity!$R$42</f>
        <v>7.3760094442444454E-2</v>
      </c>
      <c r="AF46" s="274"/>
      <c r="AG46" s="274"/>
      <c r="AH46" s="274"/>
      <c r="AI46" s="274"/>
      <c r="AJ46" s="274"/>
      <c r="AK46" s="274"/>
      <c r="AL46" s="421">
        <v>41547</v>
      </c>
      <c r="AM46" s="154">
        <f>HLOOKUP(AM$1,'Asset Returns'!$F$1:$ZS$109,ROW(),0)</f>
        <v>1.6545408130703931E-2</v>
      </c>
      <c r="AN46" s="154">
        <f>HLOOKUP(AN$1,'Asset Returns'!$F$1:$ZS$109,ROW(),0)</f>
        <v>1.8048311462288691E-3</v>
      </c>
      <c r="AO46" s="273">
        <f ca="1">IF(IF(Bonds!$J$10="no",AQ46,AS46)=0,NA(),IF(Bonds!$J$10="no",AQ46,AS46))</f>
        <v>-0.12498736259259137</v>
      </c>
      <c r="AP46" s="273">
        <f ca="1">IF(IF(Bonds!$J$10="no",AR46,AT46)=0,NA(),IF(Bonds!$J$10="no",AR46,AT46))</f>
        <v>0.19970923689173462</v>
      </c>
      <c r="AQ46" s="273">
        <f ca="1">Bonds!$P$32</f>
        <v>-0.12498736259259137</v>
      </c>
      <c r="AR46" s="273">
        <f ca="1">Bonds!$P$34</f>
        <v>0.19970923689173462</v>
      </c>
      <c r="AS46" s="274"/>
      <c r="AT46" s="274"/>
      <c r="AU46" s="274"/>
      <c r="AV46" s="421">
        <v>41547</v>
      </c>
      <c r="AW46" s="154">
        <f>HLOOKUP(AW$1,'Asset Returns'!$F$1:$ZS$109,ROW(),0)</f>
        <v>-8.8919300000000007E-2</v>
      </c>
      <c r="AX46" s="154">
        <f>HLOOKUP(AX$1,'Asset Returns'!$F$1:$ZS$109,ROW(),0)</f>
        <v>5.0047899999999999E-2</v>
      </c>
      <c r="AY46" s="154">
        <f>HLOOKUP(AY$1,'Asset Returns'!$F$1:$ZS$109,ROW(),0)</f>
        <v>5.9314390000000002E-2</v>
      </c>
      <c r="AZ46" s="154">
        <f>HLOOKUP(AZ$1,'Asset Returns'!$F$1:$ZS$109,ROW(),0)</f>
        <v>5.1426720000000002E-2</v>
      </c>
      <c r="BA46" s="154">
        <f>HLOOKUP(BA$1,'Asset Returns'!$F$1:$ZS$109,ROW(),0)</f>
        <v>-4.8492800000000003E-2</v>
      </c>
      <c r="BB46" s="273" t="e">
        <f>IF(IF(Funds!$J$10="no",BG46,BL46)=0,NA(),IF(Funds!$J$10="no",BG46,BL46))</f>
        <v>#N/A</v>
      </c>
      <c r="BC46" s="273" t="e">
        <f>IF(IF(Funds!$J$10="no",BH46,BM46)=0,NA(),IF(Funds!$J$10="no",BH46,BM46))</f>
        <v>#N/A</v>
      </c>
      <c r="BD46" s="273" t="e">
        <f>IF(IF(Funds!$J$10="no",BI46,BN46)=0,NA(),IF(Funds!$J$10="no",BI46,BN46))</f>
        <v>#N/A</v>
      </c>
      <c r="BE46" s="273" t="e">
        <f>IF(IF(Funds!$J$10="no",BJ46,BO46)=0,NA(),IF(Funds!$J$10="no",BJ46,BO46))</f>
        <v>#N/A</v>
      </c>
      <c r="BF46" s="273" t="e">
        <f>IF(IF(Funds!$J$10="no",BK46,BP46)=0,NA(),IF(Funds!$J$10="no",BK46,BP46))</f>
        <v>#N/A</v>
      </c>
      <c r="BG46" s="274">
        <f ca="1">Funds!$R$34</f>
        <v>2.5919346055080732</v>
      </c>
      <c r="BH46" s="274">
        <f ca="1">Funds!$R$36</f>
        <v>1.3378677483181089E-2</v>
      </c>
      <c r="BI46" s="274">
        <f ca="1">Funds!$R$38</f>
        <v>-0.15972963753204919</v>
      </c>
      <c r="BJ46" s="274">
        <f ca="1">Funds!$R$40</f>
        <v>-0.16887551350866659</v>
      </c>
      <c r="BK46" s="274">
        <f ca="1">Funds!$R$42</f>
        <v>-1.9222891726906419</v>
      </c>
      <c r="BL46" s="274"/>
      <c r="BM46" s="274"/>
      <c r="BN46" s="274"/>
      <c r="BO46" s="274"/>
      <c r="BP46" s="274"/>
      <c r="BR46" s="154" t="s">
        <v>74</v>
      </c>
      <c r="BS46" s="158">
        <v>-0.36759989999999998</v>
      </c>
      <c r="BT46" s="154"/>
      <c r="BU46" s="154"/>
      <c r="BX46" s="154"/>
      <c r="BZ46" s="154"/>
      <c r="CA46" s="154"/>
      <c r="CB46" s="154"/>
      <c r="CE46" s="154"/>
      <c r="CG46" s="218"/>
      <c r="CH46" s="154" t="s">
        <v>78</v>
      </c>
      <c r="CI46" s="158">
        <v>0.1707593</v>
      </c>
      <c r="CJ46" s="153" t="str">
        <f t="shared" si="16"/>
        <v>Malaysia</v>
      </c>
      <c r="CK46" s="153" t="s">
        <v>76</v>
      </c>
      <c r="CL46" s="158">
        <v>-0.16043540000000001</v>
      </c>
      <c r="CM46" s="153" t="str">
        <f t="shared" si="17"/>
        <v>Macedonia</v>
      </c>
      <c r="CN46" s="154"/>
      <c r="CO46" s="209" t="s">
        <v>81</v>
      </c>
      <c r="CP46" s="157">
        <v>-0.17636589999999999</v>
      </c>
      <c r="CQ46" s="210"/>
      <c r="CR46" s="209" t="s">
        <v>79</v>
      </c>
      <c r="CS46" s="158">
        <v>-3.6589999999999998E-2</v>
      </c>
      <c r="CT46" s="154"/>
    </row>
    <row r="47" spans="6:98">
      <c r="F47" s="421">
        <v>41578</v>
      </c>
      <c r="G47" s="272">
        <f>BMG!F47</f>
        <v>4.6772000000000003E-3</v>
      </c>
      <c r="H47" s="272" t="e">
        <f>IF('Carbon Risk Factor BMG'!$G$10="yes",AVERAGE(AC!$G11:$G46),NA())</f>
        <v>#N/A</v>
      </c>
      <c r="I47" s="272" t="e">
        <f>IF('Carbon Risk Factor BMG'!$G$11="yes",MIN(AC!$G11:$G46),NA())</f>
        <v>#N/A</v>
      </c>
      <c r="J47" s="272" t="e">
        <f>IF('Carbon Risk Factor BMG'!$G$12="yes",MAX(AC!$G11:$G46),NA())</f>
        <v>#N/A</v>
      </c>
      <c r="K47" s="272" t="e">
        <f>IF('Carbon Risk Factor BMG'!$G$13="yes",_xlfn.STDEV.S(AC!$G11:$G46),NA())</f>
        <v>#N/A</v>
      </c>
      <c r="L47" s="272" t="e">
        <f>IF('Carbon Risk Factor BMG'!$G$14="yes",_xlfn.PERCENTILE.INC(AC!$G11:$G46,'Carbon Risk Factor BMG'!$H$14),NA())</f>
        <v>#N/A</v>
      </c>
      <c r="M47" s="272" t="e">
        <f>IF('Carbon Risk Factor BMG'!$G$15="yes",_xlfn.PERCENTILE.INC(AC!$G11:$G46,'Carbon Risk Factor BMG'!$H$15),NA())</f>
        <v>#N/A</v>
      </c>
      <c r="N47" s="272">
        <f t="shared" si="25"/>
        <v>-9.5353129363955458E-2</v>
      </c>
      <c r="O47" s="272"/>
      <c r="P47" s="421">
        <v>41578</v>
      </c>
      <c r="Q47" s="154">
        <f>HLOOKUP(Q$1,'Asset Returns'!$F$1:$N$109,ROW(),0)</f>
        <v>0.16776686906814575</v>
      </c>
      <c r="R47" s="154">
        <f>HLOOKUP(R$1,'Asset Returns'!$F$1:$N$109,ROW(),0)</f>
        <v>1.4510360546410084E-2</v>
      </c>
      <c r="S47" s="154">
        <f>HLOOKUP(S$1,'Asset Returns'!$F$1:$N$109,ROW(),0)</f>
        <v>0.10571345686912537</v>
      </c>
      <c r="T47" s="154">
        <f>HLOOKUP(T$1,'Asset Returns'!$F$1:$N$109,ROW(),0)</f>
        <v>-3.2238904386758804E-2</v>
      </c>
      <c r="U47" s="154">
        <f>HLOOKUP(U$1,'Asset Returns'!$F$1:$N$109,ROW(),0)</f>
        <v>4.3896805495023727E-2</v>
      </c>
      <c r="V47" s="273" t="e">
        <f>IF(IF(Equity!$J$10="no",AA47,AF47)=0,NA(),IF(Equity!$J$10="no",AA47,AF47))</f>
        <v>#N/A</v>
      </c>
      <c r="W47" s="273" t="e">
        <f>IF(IF(Equity!$J$10="no",AB47,AG47)=0,NA(),IF(Equity!$J$10="no",AB47,AG47))</f>
        <v>#N/A</v>
      </c>
      <c r="X47" s="273" t="e">
        <f>IF(IF(Equity!$J$10="no",AC47,AH47)=0,NA(),IF(Equity!$J$10="no",AC47,AH47))</f>
        <v>#N/A</v>
      </c>
      <c r="Y47" s="273" t="e">
        <f>IF(IF(Equity!$J$10="no",AD47,AI47)=0,NA(),IF(Equity!$J$10="no",AD47,AI47))</f>
        <v>#N/A</v>
      </c>
      <c r="Z47" s="273" t="e">
        <f>IF(IF(Equity!$J$10="no",AE47,AJ47)=0,NA(),IF(Equity!$J$10="no",AE47,AJ47))</f>
        <v>#N/A</v>
      </c>
      <c r="AA47" s="274">
        <f ca="1">Equity!$R$34</f>
        <v>0.64097224418739052</v>
      </c>
      <c r="AB47" s="274">
        <f ca="1">Equity!$R$36</f>
        <v>-0.78557102570241866</v>
      </c>
      <c r="AC47" s="274">
        <f ca="1">Equity!$R$38</f>
        <v>0.9378377404978776</v>
      </c>
      <c r="AD47" s="274">
        <f ca="1">Equity!$R$40</f>
        <v>0.17519882647973573</v>
      </c>
      <c r="AE47" s="274">
        <f ca="1">Equity!$R$42</f>
        <v>7.3760094442444454E-2</v>
      </c>
      <c r="AF47" s="274"/>
      <c r="AG47" s="274"/>
      <c r="AH47" s="274"/>
      <c r="AI47" s="274"/>
      <c r="AJ47" s="274"/>
      <c r="AK47" s="274"/>
      <c r="AL47" s="421">
        <v>41578</v>
      </c>
      <c r="AM47" s="154">
        <f>HLOOKUP(AM$1,'Asset Returns'!$F$1:$ZS$109,ROW(),0)</f>
        <v>1.0280476511857817E-2</v>
      </c>
      <c r="AN47" s="154">
        <f>HLOOKUP(AN$1,'Asset Returns'!$F$1:$ZS$109,ROW(),0)</f>
        <v>1.8069414433012909E-3</v>
      </c>
      <c r="AO47" s="273">
        <f ca="1">IF(IF(Bonds!$J$10="no",AQ47,AS47)=0,NA(),IF(Bonds!$J$10="no",AQ47,AS47))</f>
        <v>-0.12498736259259137</v>
      </c>
      <c r="AP47" s="273">
        <f ca="1">IF(IF(Bonds!$J$10="no",AR47,AT47)=0,NA(),IF(Bonds!$J$10="no",AR47,AT47))</f>
        <v>0.19970923689173462</v>
      </c>
      <c r="AQ47" s="273">
        <f ca="1">Bonds!$P$32</f>
        <v>-0.12498736259259137</v>
      </c>
      <c r="AR47" s="273">
        <f ca="1">Bonds!$P$34</f>
        <v>0.19970923689173462</v>
      </c>
      <c r="AS47" s="274"/>
      <c r="AT47" s="274"/>
      <c r="AU47" s="274"/>
      <c r="AV47" s="421">
        <v>41578</v>
      </c>
      <c r="AW47" s="154">
        <f>HLOOKUP(AW$1,'Asset Returns'!$F$1:$ZS$109,ROW(),0)</f>
        <v>-3.6035999999999999E-2</v>
      </c>
      <c r="AX47" s="154">
        <f>HLOOKUP(AX$1,'Asset Returns'!$F$1:$ZS$109,ROW(),0)</f>
        <v>3.8718000000000002E-2</v>
      </c>
      <c r="AY47" s="154">
        <f>HLOOKUP(AY$1,'Asset Returns'!$F$1:$ZS$109,ROW(),0)</f>
        <v>3.9490020000000001E-2</v>
      </c>
      <c r="AZ47" s="154">
        <f>HLOOKUP(AZ$1,'Asset Returns'!$F$1:$ZS$109,ROW(),0)</f>
        <v>3.9091399999999998E-2</v>
      </c>
      <c r="BA47" s="154">
        <f>HLOOKUP(BA$1,'Asset Returns'!$F$1:$ZS$109,ROW(),0)</f>
        <v>-8.5915999999999992E-2</v>
      </c>
      <c r="BB47" s="273" t="e">
        <f>IF(IF(Funds!$J$10="no",BG47,BL47)=0,NA(),IF(Funds!$J$10="no",BG47,BL47))</f>
        <v>#N/A</v>
      </c>
      <c r="BC47" s="273" t="e">
        <f>IF(IF(Funds!$J$10="no",BH47,BM47)=0,NA(),IF(Funds!$J$10="no",BH47,BM47))</f>
        <v>#N/A</v>
      </c>
      <c r="BD47" s="273" t="e">
        <f>IF(IF(Funds!$J$10="no",BI47,BN47)=0,NA(),IF(Funds!$J$10="no",BI47,BN47))</f>
        <v>#N/A</v>
      </c>
      <c r="BE47" s="273" t="e">
        <f>IF(IF(Funds!$J$10="no",BJ47,BO47)=0,NA(),IF(Funds!$J$10="no",BJ47,BO47))</f>
        <v>#N/A</v>
      </c>
      <c r="BF47" s="273" t="e">
        <f>IF(IF(Funds!$J$10="no",BK47,BP47)=0,NA(),IF(Funds!$J$10="no",BK47,BP47))</f>
        <v>#N/A</v>
      </c>
      <c r="BG47" s="274">
        <f ca="1">Funds!$R$34</f>
        <v>2.5919346055080732</v>
      </c>
      <c r="BH47" s="274">
        <f ca="1">Funds!$R$36</f>
        <v>1.3378677483181089E-2</v>
      </c>
      <c r="BI47" s="274">
        <f ca="1">Funds!$R$38</f>
        <v>-0.15972963753204919</v>
      </c>
      <c r="BJ47" s="274">
        <f ca="1">Funds!$R$40</f>
        <v>-0.16887551350866659</v>
      </c>
      <c r="BK47" s="274">
        <f ca="1">Funds!$R$42</f>
        <v>-1.9222891726906419</v>
      </c>
      <c r="BL47" s="274"/>
      <c r="BM47" s="274"/>
      <c r="BN47" s="274"/>
      <c r="BO47" s="274"/>
      <c r="BP47" s="274"/>
      <c r="BR47" s="154" t="s">
        <v>75</v>
      </c>
      <c r="BS47" s="158">
        <v>-0.27201379999999997</v>
      </c>
      <c r="BT47" s="154"/>
      <c r="BU47" s="154"/>
      <c r="BX47" s="154"/>
      <c r="BZ47" s="154"/>
      <c r="CA47" s="154"/>
      <c r="CB47" s="154"/>
      <c r="CE47" s="154"/>
      <c r="CG47" s="218"/>
      <c r="CH47" s="154" t="s">
        <v>121</v>
      </c>
      <c r="CI47" s="158">
        <v>-0.235432</v>
      </c>
      <c r="CJ47" s="153" t="e">
        <f t="shared" si="16"/>
        <v>#N/A</v>
      </c>
      <c r="CK47" s="153" t="s">
        <v>78</v>
      </c>
      <c r="CL47" s="158">
        <v>9.47572E-2</v>
      </c>
      <c r="CM47" s="153" t="str">
        <f t="shared" si="17"/>
        <v>Malaysia</v>
      </c>
      <c r="CN47" s="154"/>
      <c r="CO47" s="209" t="s">
        <v>83</v>
      </c>
      <c r="CP47" s="157">
        <v>-4.734E-2</v>
      </c>
      <c r="CQ47" s="210"/>
      <c r="CR47" s="209" t="s">
        <v>81</v>
      </c>
      <c r="CS47" s="158">
        <v>-0.1993702</v>
      </c>
      <c r="CT47" s="154"/>
    </row>
    <row r="48" spans="6:98">
      <c r="F48" s="421">
        <v>41608</v>
      </c>
      <c r="G48" s="272">
        <f>BMG!F48</f>
        <v>-2.2932600000000001E-2</v>
      </c>
      <c r="H48" s="272" t="e">
        <f>IF('Carbon Risk Factor BMG'!$G$10="yes",AVERAGE(AC!$G12:$G47),NA())</f>
        <v>#N/A</v>
      </c>
      <c r="I48" s="272" t="e">
        <f>IF('Carbon Risk Factor BMG'!$G$11="yes",MIN(AC!$G12:$G47),NA())</f>
        <v>#N/A</v>
      </c>
      <c r="J48" s="272" t="e">
        <f>IF('Carbon Risk Factor BMG'!$G$12="yes",MAX(AC!$G12:$G47),NA())</f>
        <v>#N/A</v>
      </c>
      <c r="K48" s="272" t="e">
        <f>IF('Carbon Risk Factor BMG'!$G$13="yes",_xlfn.STDEV.S(AC!$G12:$G47),NA())</f>
        <v>#N/A</v>
      </c>
      <c r="L48" s="272" t="e">
        <f>IF('Carbon Risk Factor BMG'!$G$14="yes",_xlfn.PERCENTILE.INC(AC!$G12:$G47,'Carbon Risk Factor BMG'!$H$14),NA())</f>
        <v>#N/A</v>
      </c>
      <c r="M48" s="272" t="e">
        <f>IF('Carbon Risk Factor BMG'!$G$15="yes",_xlfn.PERCENTILE.INC(AC!$G12:$G47,'Carbon Risk Factor BMG'!$H$15),NA())</f>
        <v>#N/A</v>
      </c>
      <c r="N48" s="272">
        <f t="shared" si="25"/>
        <v>-0.11609903418950362</v>
      </c>
      <c r="O48" s="272"/>
      <c r="P48" s="421">
        <v>41608</v>
      </c>
      <c r="Q48" s="154">
        <f>HLOOKUP(Q$1,'Asset Returns'!$F$1:$N$109,ROW(),0)</f>
        <v>2.872026339173317E-2</v>
      </c>
      <c r="R48" s="154">
        <f>HLOOKUP(R$1,'Asset Returns'!$F$1:$N$109,ROW(),0)</f>
        <v>-3.8553483784198761E-2</v>
      </c>
      <c r="S48" s="154">
        <f>HLOOKUP(S$1,'Asset Returns'!$F$1:$N$109,ROW(),0)</f>
        <v>3.0286870896816254E-2</v>
      </c>
      <c r="T48" s="154">
        <f>HLOOKUP(T$1,'Asset Returns'!$F$1:$N$109,ROW(),0)</f>
        <v>7.9381633549928665E-3</v>
      </c>
      <c r="U48" s="154">
        <f>HLOOKUP(U$1,'Asset Returns'!$F$1:$N$109,ROW(),0)</f>
        <v>4.7215048223733902E-2</v>
      </c>
      <c r="V48" s="273" t="e">
        <f>IF(IF(Equity!$J$10="no",AA48,AF48)=0,NA(),IF(Equity!$J$10="no",AA48,AF48))</f>
        <v>#N/A</v>
      </c>
      <c r="W48" s="273" t="e">
        <f>IF(IF(Equity!$J$10="no",AB48,AG48)=0,NA(),IF(Equity!$J$10="no",AB48,AG48))</f>
        <v>#N/A</v>
      </c>
      <c r="X48" s="273" t="e">
        <f>IF(IF(Equity!$J$10="no",AC48,AH48)=0,NA(),IF(Equity!$J$10="no",AC48,AH48))</f>
        <v>#N/A</v>
      </c>
      <c r="Y48" s="273" t="e">
        <f>IF(IF(Equity!$J$10="no",AD48,AI48)=0,NA(),IF(Equity!$J$10="no",AD48,AI48))</f>
        <v>#N/A</v>
      </c>
      <c r="Z48" s="273" t="e">
        <f>IF(IF(Equity!$J$10="no",AE48,AJ48)=0,NA(),IF(Equity!$J$10="no",AE48,AJ48))</f>
        <v>#N/A</v>
      </c>
      <c r="AA48" s="274">
        <f ca="1">Equity!$R$34</f>
        <v>0.64097224418739052</v>
      </c>
      <c r="AB48" s="274">
        <f ca="1">Equity!$R$36</f>
        <v>-0.78557102570241866</v>
      </c>
      <c r="AC48" s="274">
        <f ca="1">Equity!$R$38</f>
        <v>0.9378377404978776</v>
      </c>
      <c r="AD48" s="274">
        <f ca="1">Equity!$R$40</f>
        <v>0.17519882647973573</v>
      </c>
      <c r="AE48" s="274">
        <f ca="1">Equity!$R$42</f>
        <v>7.3760094442444454E-2</v>
      </c>
      <c r="AF48" s="274"/>
      <c r="AG48" s="274"/>
      <c r="AH48" s="274"/>
      <c r="AI48" s="274"/>
      <c r="AJ48" s="274"/>
      <c r="AK48" s="274"/>
      <c r="AL48" s="421">
        <v>41608</v>
      </c>
      <c r="AM48" s="154">
        <f>HLOOKUP(AM$1,'Asset Returns'!$F$1:$ZS$109,ROW(),0)</f>
        <v>2.9723620432513087E-2</v>
      </c>
      <c r="AN48" s="154">
        <f>HLOOKUP(AN$1,'Asset Returns'!$F$1:$ZS$109,ROW(),0)</f>
        <v>-2.1740526653821535E-2</v>
      </c>
      <c r="AO48" s="273">
        <f ca="1">IF(IF(Bonds!$J$10="no",AQ48,AS48)=0,NA(),IF(Bonds!$J$10="no",AQ48,AS48))</f>
        <v>-0.12498736259259137</v>
      </c>
      <c r="AP48" s="273">
        <f ca="1">IF(IF(Bonds!$J$10="no",AR48,AT48)=0,NA(),IF(Bonds!$J$10="no",AR48,AT48))</f>
        <v>0.19970923689173462</v>
      </c>
      <c r="AQ48" s="273">
        <f ca="1">Bonds!$P$32</f>
        <v>-0.12498736259259137</v>
      </c>
      <c r="AR48" s="273">
        <f ca="1">Bonds!$P$34</f>
        <v>0.19970923689173462</v>
      </c>
      <c r="AS48" s="274"/>
      <c r="AT48" s="274"/>
      <c r="AU48" s="274"/>
      <c r="AV48" s="421">
        <v>41608</v>
      </c>
      <c r="AW48" s="154">
        <f>HLOOKUP(AW$1,'Asset Returns'!$F$1:$ZS$109,ROW(),0)</f>
        <v>-8.566979999999999E-2</v>
      </c>
      <c r="AX48" s="154">
        <f>HLOOKUP(AX$1,'Asset Returns'!$F$1:$ZS$109,ROW(),0)</f>
        <v>1.8204100000000001E-2</v>
      </c>
      <c r="AY48" s="154">
        <f>HLOOKUP(AY$1,'Asset Returns'!$F$1:$ZS$109,ROW(),0)</f>
        <v>1.9185850000000001E-2</v>
      </c>
      <c r="AZ48" s="154">
        <f>HLOOKUP(AZ$1,'Asset Returns'!$F$1:$ZS$109,ROW(),0)</f>
        <v>1.9602170000000002E-2</v>
      </c>
      <c r="BA48" s="154">
        <f>HLOOKUP(BA$1,'Asset Returns'!$F$1:$ZS$109,ROW(),0)</f>
        <v>-1.3938600000000001E-2</v>
      </c>
      <c r="BB48" s="273" t="e">
        <f>IF(IF(Funds!$J$10="no",BG48,BL48)=0,NA(),IF(Funds!$J$10="no",BG48,BL48))</f>
        <v>#N/A</v>
      </c>
      <c r="BC48" s="273" t="e">
        <f>IF(IF(Funds!$J$10="no",BH48,BM48)=0,NA(),IF(Funds!$J$10="no",BH48,BM48))</f>
        <v>#N/A</v>
      </c>
      <c r="BD48" s="273" t="e">
        <f>IF(IF(Funds!$J$10="no",BI48,BN48)=0,NA(),IF(Funds!$J$10="no",BI48,BN48))</f>
        <v>#N/A</v>
      </c>
      <c r="BE48" s="273" t="e">
        <f>IF(IF(Funds!$J$10="no",BJ48,BO48)=0,NA(),IF(Funds!$J$10="no",BJ48,BO48))</f>
        <v>#N/A</v>
      </c>
      <c r="BF48" s="273" t="e">
        <f>IF(IF(Funds!$J$10="no",BK48,BP48)=0,NA(),IF(Funds!$J$10="no",BK48,BP48))</f>
        <v>#N/A</v>
      </c>
      <c r="BG48" s="274">
        <f ca="1">Funds!$R$34</f>
        <v>2.5919346055080732</v>
      </c>
      <c r="BH48" s="274">
        <f ca="1">Funds!$R$36</f>
        <v>1.3378677483181089E-2</v>
      </c>
      <c r="BI48" s="274">
        <f ca="1">Funds!$R$38</f>
        <v>-0.15972963753204919</v>
      </c>
      <c r="BJ48" s="274">
        <f ca="1">Funds!$R$40</f>
        <v>-0.16887551350866659</v>
      </c>
      <c r="BK48" s="274">
        <f ca="1">Funds!$R$42</f>
        <v>-1.9222891726906419</v>
      </c>
      <c r="BL48" s="274"/>
      <c r="BM48" s="274"/>
      <c r="BN48" s="274"/>
      <c r="BO48" s="274"/>
      <c r="BP48" s="274"/>
      <c r="BR48" s="154" t="s">
        <v>76</v>
      </c>
      <c r="BS48" s="158">
        <v>-0.24806429999999999</v>
      </c>
      <c r="BT48" s="154"/>
      <c r="BU48" s="154"/>
      <c r="BX48" s="154"/>
      <c r="BZ48" s="154"/>
      <c r="CA48" s="154"/>
      <c r="CB48" s="154"/>
      <c r="CE48" s="154"/>
      <c r="CG48" s="218"/>
      <c r="CH48" s="154" t="s">
        <v>122</v>
      </c>
      <c r="CI48" s="158">
        <v>0.15187220000000001</v>
      </c>
      <c r="CJ48" s="153" t="e">
        <f t="shared" si="16"/>
        <v>#N/A</v>
      </c>
      <c r="CK48" s="153" t="s">
        <v>121</v>
      </c>
      <c r="CL48" s="158">
        <v>-0.23917340000000001</v>
      </c>
      <c r="CM48" s="153" t="e">
        <f t="shared" si="17"/>
        <v>#N/A</v>
      </c>
      <c r="CN48" s="154"/>
      <c r="CO48" s="209" t="s">
        <v>87</v>
      </c>
      <c r="CP48" s="157">
        <v>5.6222399999999999E-2</v>
      </c>
      <c r="CQ48" s="210"/>
      <c r="CR48" s="209" t="s">
        <v>83</v>
      </c>
      <c r="CS48" s="158">
        <v>-4.4535199999999997E-2</v>
      </c>
      <c r="CT48" s="154"/>
    </row>
    <row r="49" spans="6:98">
      <c r="F49" s="421">
        <v>41639</v>
      </c>
      <c r="G49" s="272">
        <f>BMG!F49</f>
        <v>-2.3330000000000001E-4</v>
      </c>
      <c r="H49" s="272" t="e">
        <f>IF('Carbon Risk Factor BMG'!$G$10="yes",AVERAGE(AC!$G13:$G48),NA())</f>
        <v>#N/A</v>
      </c>
      <c r="I49" s="272" t="e">
        <f>IF('Carbon Risk Factor BMG'!$G$11="yes",MIN(AC!$G13:$G48),NA())</f>
        <v>#N/A</v>
      </c>
      <c r="J49" s="272" t="e">
        <f>IF('Carbon Risk Factor BMG'!$G$12="yes",MAX(AC!$G13:$G48),NA())</f>
        <v>#N/A</v>
      </c>
      <c r="K49" s="272" t="e">
        <f>IF('Carbon Risk Factor BMG'!$G$13="yes",_xlfn.STDEV.S(AC!$G13:$G48),NA())</f>
        <v>#N/A</v>
      </c>
      <c r="L49" s="272" t="e">
        <f>IF('Carbon Risk Factor BMG'!$G$14="yes",_xlfn.PERCENTILE.INC(AC!$G13:$G48,'Carbon Risk Factor BMG'!$H$14),NA())</f>
        <v>#N/A</v>
      </c>
      <c r="M49" s="272" t="e">
        <f>IF('Carbon Risk Factor BMG'!$G$15="yes",_xlfn.PERCENTILE.INC(AC!$G13:$G48,'Carbon Risk Factor BMG'!$H$15),NA())</f>
        <v>#N/A</v>
      </c>
      <c r="N49" s="272">
        <f t="shared" si="25"/>
        <v>-0.11630524828482725</v>
      </c>
      <c r="O49" s="272"/>
      <c r="P49" s="421">
        <v>41639</v>
      </c>
      <c r="Q49" s="154">
        <f>HLOOKUP(Q$1,'Asset Returns'!$F$1:$N$109,ROW(),0)</f>
        <v>-4.6240661293268204E-2</v>
      </c>
      <c r="R49" s="154">
        <f>HLOOKUP(R$1,'Asset Returns'!$F$1:$N$109,ROW(),0)</f>
        <v>-1.9961094483733177E-2</v>
      </c>
      <c r="S49" s="154">
        <f>HLOOKUP(S$1,'Asset Returns'!$F$1:$N$109,ROW(),0)</f>
        <v>2.3804876953363419E-2</v>
      </c>
      <c r="T49" s="154">
        <f>HLOOKUP(T$1,'Asset Returns'!$F$1:$N$109,ROW(),0)</f>
        <v>4.3911397457122803E-2</v>
      </c>
      <c r="U49" s="154">
        <f>HLOOKUP(U$1,'Asset Returns'!$F$1:$N$109,ROW(),0)</f>
        <v>5.4579075425863266E-2</v>
      </c>
      <c r="V49" s="273" t="e">
        <f>IF(IF(Equity!$J$10="no",AA49,AF49)=0,NA(),IF(Equity!$J$10="no",AA49,AF49))</f>
        <v>#N/A</v>
      </c>
      <c r="W49" s="273" t="e">
        <f>IF(IF(Equity!$J$10="no",AB49,AG49)=0,NA(),IF(Equity!$J$10="no",AB49,AG49))</f>
        <v>#N/A</v>
      </c>
      <c r="X49" s="273" t="e">
        <f>IF(IF(Equity!$J$10="no",AC49,AH49)=0,NA(),IF(Equity!$J$10="no",AC49,AH49))</f>
        <v>#N/A</v>
      </c>
      <c r="Y49" s="273" t="e">
        <f>IF(IF(Equity!$J$10="no",AD49,AI49)=0,NA(),IF(Equity!$J$10="no",AD49,AI49))</f>
        <v>#N/A</v>
      </c>
      <c r="Z49" s="273" t="e">
        <f>IF(IF(Equity!$J$10="no",AE49,AJ49)=0,NA(),IF(Equity!$J$10="no",AE49,AJ49))</f>
        <v>#N/A</v>
      </c>
      <c r="AA49" s="274">
        <f ca="1">Equity!$R$34</f>
        <v>0.64097224418739052</v>
      </c>
      <c r="AB49" s="274">
        <f ca="1">Equity!$R$36</f>
        <v>-0.78557102570241866</v>
      </c>
      <c r="AC49" s="274">
        <f ca="1">Equity!$R$38</f>
        <v>0.9378377404978776</v>
      </c>
      <c r="AD49" s="274">
        <f ca="1">Equity!$R$40</f>
        <v>0.17519882647973573</v>
      </c>
      <c r="AE49" s="274">
        <f ca="1">Equity!$R$42</f>
        <v>7.3760094442444454E-2</v>
      </c>
      <c r="AF49" s="274"/>
      <c r="AG49" s="274"/>
      <c r="AH49" s="274"/>
      <c r="AI49" s="274"/>
      <c r="AJ49" s="274"/>
      <c r="AK49" s="274"/>
      <c r="AL49" s="421">
        <v>41639</v>
      </c>
      <c r="AM49" s="154">
        <f>HLOOKUP(AM$1,'Asset Returns'!$F$1:$ZS$109,ROW(),0)</f>
        <v>-5.175294672324382E-2</v>
      </c>
      <c r="AN49" s="154">
        <f>HLOOKUP(AN$1,'Asset Returns'!$F$1:$ZS$109,ROW(),0)</f>
        <v>-9.3939095514776749E-3</v>
      </c>
      <c r="AO49" s="273">
        <f ca="1">IF(IF(Bonds!$J$10="no",AQ49,AS49)=0,NA(),IF(Bonds!$J$10="no",AQ49,AS49))</f>
        <v>-0.12498736259259137</v>
      </c>
      <c r="AP49" s="273">
        <f ca="1">IF(IF(Bonds!$J$10="no",AR49,AT49)=0,NA(),IF(Bonds!$J$10="no",AR49,AT49))</f>
        <v>0.19970923689173462</v>
      </c>
      <c r="AQ49" s="273">
        <f ca="1">Bonds!$P$32</f>
        <v>-0.12498736259259137</v>
      </c>
      <c r="AR49" s="273">
        <f ca="1">Bonds!$P$34</f>
        <v>0.19970923689173462</v>
      </c>
      <c r="AS49" s="274"/>
      <c r="AT49" s="274"/>
      <c r="AU49" s="274"/>
      <c r="AV49" s="421">
        <v>41639</v>
      </c>
      <c r="AW49" s="154">
        <f>HLOOKUP(AW$1,'Asset Returns'!$F$1:$ZS$109,ROW(),0)</f>
        <v>-3.0664400000000001E-2</v>
      </c>
      <c r="AX49" s="154">
        <f>HLOOKUP(AX$1,'Asset Returns'!$F$1:$ZS$109,ROW(),0)</f>
        <v>2.0657399999999999E-2</v>
      </c>
      <c r="AY49" s="154">
        <f>HLOOKUP(AY$1,'Asset Returns'!$F$1:$ZS$109,ROW(),0)</f>
        <v>1.9712069999999998E-2</v>
      </c>
      <c r="AZ49" s="154">
        <f>HLOOKUP(AZ$1,'Asset Returns'!$F$1:$ZS$109,ROW(),0)</f>
        <v>2.2299360000000001E-2</v>
      </c>
      <c r="BA49" s="154">
        <f>HLOOKUP(BA$1,'Asset Returns'!$F$1:$ZS$109,ROW(),0)</f>
        <v>-5.9407800000000004E-2</v>
      </c>
      <c r="BB49" s="273" t="e">
        <f>IF(IF(Funds!$J$10="no",BG49,BL49)=0,NA(),IF(Funds!$J$10="no",BG49,BL49))</f>
        <v>#N/A</v>
      </c>
      <c r="BC49" s="273" t="e">
        <f>IF(IF(Funds!$J$10="no",BH49,BM49)=0,NA(),IF(Funds!$J$10="no",BH49,BM49))</f>
        <v>#N/A</v>
      </c>
      <c r="BD49" s="273" t="e">
        <f>IF(IF(Funds!$J$10="no",BI49,BN49)=0,NA(),IF(Funds!$J$10="no",BI49,BN49))</f>
        <v>#N/A</v>
      </c>
      <c r="BE49" s="273" t="e">
        <f>IF(IF(Funds!$J$10="no",BJ49,BO49)=0,NA(),IF(Funds!$J$10="no",BJ49,BO49))</f>
        <v>#N/A</v>
      </c>
      <c r="BF49" s="273" t="e">
        <f>IF(IF(Funds!$J$10="no",BK49,BP49)=0,NA(),IF(Funds!$J$10="no",BK49,BP49))</f>
        <v>#N/A</v>
      </c>
      <c r="BG49" s="274">
        <f ca="1">Funds!$R$34</f>
        <v>2.5919346055080732</v>
      </c>
      <c r="BH49" s="274">
        <f ca="1">Funds!$R$36</f>
        <v>1.3378677483181089E-2</v>
      </c>
      <c r="BI49" s="274">
        <f ca="1">Funds!$R$38</f>
        <v>-0.15972963753204919</v>
      </c>
      <c r="BJ49" s="274">
        <f ca="1">Funds!$R$40</f>
        <v>-0.16887551350866659</v>
      </c>
      <c r="BK49" s="274">
        <f ca="1">Funds!$R$42</f>
        <v>-1.9222891726906419</v>
      </c>
      <c r="BL49" s="274"/>
      <c r="BM49" s="274"/>
      <c r="BN49" s="274"/>
      <c r="BO49" s="274"/>
      <c r="BP49" s="274"/>
      <c r="BR49" s="154" t="s">
        <v>77</v>
      </c>
      <c r="BS49" s="158">
        <v>0.31215480000000001</v>
      </c>
      <c r="BT49" s="154"/>
      <c r="BU49" s="154"/>
      <c r="BX49" s="154"/>
      <c r="BZ49" s="154"/>
      <c r="CA49" s="154"/>
      <c r="CB49" s="154"/>
      <c r="CE49" s="154"/>
      <c r="CG49" s="218"/>
      <c r="CH49" s="154" t="s">
        <v>77</v>
      </c>
      <c r="CI49" s="158">
        <v>0.31423630000000002</v>
      </c>
      <c r="CJ49" s="153" t="str">
        <f t="shared" si="16"/>
        <v>Mexico</v>
      </c>
      <c r="CK49" s="153" t="s">
        <v>122</v>
      </c>
      <c r="CL49" s="158">
        <v>0.12197379999999999</v>
      </c>
      <c r="CM49" s="153" t="e">
        <f t="shared" si="17"/>
        <v>#N/A</v>
      </c>
      <c r="CN49" s="154"/>
      <c r="CO49" s="209" t="s">
        <v>84</v>
      </c>
      <c r="CP49" s="157">
        <v>0.1022482</v>
      </c>
      <c r="CQ49" s="210"/>
      <c r="CR49" s="209" t="s">
        <v>87</v>
      </c>
      <c r="CS49" s="158">
        <v>3.09415E-2</v>
      </c>
      <c r="CT49" s="154"/>
    </row>
    <row r="50" spans="6:98">
      <c r="F50" s="421">
        <v>41670</v>
      </c>
      <c r="G50" s="272">
        <f>BMG!F50</f>
        <v>-3.2542000000000001E-3</v>
      </c>
      <c r="H50" s="272" t="e">
        <f>IF('Carbon Risk Factor BMG'!$G$10="yes",AVERAGE(AC!$G14:$G49),NA())</f>
        <v>#N/A</v>
      </c>
      <c r="I50" s="272" t="e">
        <f>IF('Carbon Risk Factor BMG'!$G$11="yes",MIN(AC!$G14:$G49),NA())</f>
        <v>#N/A</v>
      </c>
      <c r="J50" s="272" t="e">
        <f>IF('Carbon Risk Factor BMG'!$G$12="yes",MAX(AC!$G14:$G49),NA())</f>
        <v>#N/A</v>
      </c>
      <c r="K50" s="272" t="e">
        <f>IF('Carbon Risk Factor BMG'!$G$13="yes",_xlfn.STDEV.S(AC!$G14:$G49),NA())</f>
        <v>#N/A</v>
      </c>
      <c r="L50" s="272" t="e">
        <f>IF('Carbon Risk Factor BMG'!$G$14="yes",_xlfn.PERCENTILE.INC(AC!$G14:$G49,'Carbon Risk Factor BMG'!$H$14),NA())</f>
        <v>#N/A</v>
      </c>
      <c r="M50" s="272" t="e">
        <f>IF('Carbon Risk Factor BMG'!$G$15="yes",_xlfn.PERCENTILE.INC(AC!$G14:$G49,'Carbon Risk Factor BMG'!$H$15),NA())</f>
        <v>#N/A</v>
      </c>
      <c r="N50" s="272">
        <f t="shared" si="25"/>
        <v>-0.11918096774585873</v>
      </c>
      <c r="O50" s="272"/>
      <c r="P50" s="421">
        <v>41670</v>
      </c>
      <c r="Q50" s="154">
        <f>HLOOKUP(Q$1,'Asset Returns'!$F$1:$N$109,ROW(),0)</f>
        <v>-8.319120854139328E-2</v>
      </c>
      <c r="R50" s="154">
        <f>HLOOKUP(R$1,'Asset Returns'!$F$1:$N$109,ROW(),0)</f>
        <v>-4.935074970126152E-2</v>
      </c>
      <c r="S50" s="154">
        <f>HLOOKUP(S$1,'Asset Returns'!$F$1:$N$109,ROW(),0)</f>
        <v>-2.8173357248306274E-2</v>
      </c>
      <c r="T50" s="154">
        <f>HLOOKUP(T$1,'Asset Returns'!$F$1:$N$109,ROW(),0)</f>
        <v>-5.8058328926563263E-2</v>
      </c>
      <c r="U50" s="154">
        <f>HLOOKUP(U$1,'Asset Returns'!$F$1:$N$109,ROW(),0)</f>
        <v>-1.1506537906825542E-2</v>
      </c>
      <c r="V50" s="273" t="e">
        <f>IF(IF(Equity!$J$10="no",AA50,AF50)=0,NA(),IF(Equity!$J$10="no",AA50,AF50))</f>
        <v>#N/A</v>
      </c>
      <c r="W50" s="273" t="e">
        <f>IF(IF(Equity!$J$10="no",AB50,AG50)=0,NA(),IF(Equity!$J$10="no",AB50,AG50))</f>
        <v>#N/A</v>
      </c>
      <c r="X50" s="273" t="e">
        <f>IF(IF(Equity!$J$10="no",AC50,AH50)=0,NA(),IF(Equity!$J$10="no",AC50,AH50))</f>
        <v>#N/A</v>
      </c>
      <c r="Y50" s="273" t="e">
        <f>IF(IF(Equity!$J$10="no",AD50,AI50)=0,NA(),IF(Equity!$J$10="no",AD50,AI50))</f>
        <v>#N/A</v>
      </c>
      <c r="Z50" s="273" t="e">
        <f>IF(IF(Equity!$J$10="no",AE50,AJ50)=0,NA(),IF(Equity!$J$10="no",AE50,AJ50))</f>
        <v>#N/A</v>
      </c>
      <c r="AA50" s="274">
        <f ca="1">Equity!$R$34</f>
        <v>0.64097224418739052</v>
      </c>
      <c r="AB50" s="274">
        <f ca="1">Equity!$R$36</f>
        <v>-0.78557102570241866</v>
      </c>
      <c r="AC50" s="274">
        <f ca="1">Equity!$R$38</f>
        <v>0.9378377404978776</v>
      </c>
      <c r="AD50" s="274">
        <f ca="1">Equity!$R$40</f>
        <v>0.17519882647973573</v>
      </c>
      <c r="AE50" s="274">
        <f ca="1">Equity!$R$42</f>
        <v>7.3760094442444454E-2</v>
      </c>
      <c r="AF50" s="274"/>
      <c r="AG50" s="274"/>
      <c r="AH50" s="274"/>
      <c r="AI50" s="274"/>
      <c r="AJ50" s="274"/>
      <c r="AK50" s="274"/>
      <c r="AL50" s="421">
        <v>41670</v>
      </c>
      <c r="AM50" s="154">
        <f>HLOOKUP(AM$1,'Asset Returns'!$F$1:$ZS$109,ROW(),0)</f>
        <v>5.6160602058837661E-2</v>
      </c>
      <c r="AN50" s="154">
        <f>HLOOKUP(AN$1,'Asset Returns'!$F$1:$ZS$109,ROW(),0)</f>
        <v>5.4975947332666752E-2</v>
      </c>
      <c r="AO50" s="273">
        <f ca="1">IF(IF(Bonds!$J$10="no",AQ50,AS50)=0,NA(),IF(Bonds!$J$10="no",AQ50,AS50))</f>
        <v>-0.12498736259259137</v>
      </c>
      <c r="AP50" s="273">
        <f ca="1">IF(IF(Bonds!$J$10="no",AR50,AT50)=0,NA(),IF(Bonds!$J$10="no",AR50,AT50))</f>
        <v>0.19970923689173462</v>
      </c>
      <c r="AQ50" s="273">
        <f ca="1">Bonds!$P$32</f>
        <v>-0.12498736259259137</v>
      </c>
      <c r="AR50" s="273">
        <f ca="1">Bonds!$P$34</f>
        <v>0.19970923689173462</v>
      </c>
      <c r="AS50" s="274"/>
      <c r="AT50" s="274"/>
      <c r="AU50" s="274"/>
      <c r="AV50" s="421">
        <v>41670</v>
      </c>
      <c r="AW50" s="154">
        <f>HLOOKUP(AW$1,'Asset Returns'!$F$1:$ZS$109,ROW(),0)</f>
        <v>8.9630899999999999E-2</v>
      </c>
      <c r="AX50" s="154">
        <f>HLOOKUP(AX$1,'Asset Returns'!$F$1:$ZS$109,ROW(),0)</f>
        <v>-3.7541600000000001E-2</v>
      </c>
      <c r="AY50" s="154">
        <f>HLOOKUP(AY$1,'Asset Returns'!$F$1:$ZS$109,ROW(),0)</f>
        <v>-4.0328030000000001E-2</v>
      </c>
      <c r="AZ50" s="154">
        <f>HLOOKUP(AZ$1,'Asset Returns'!$F$1:$ZS$109,ROW(),0)</f>
        <v>-2.39019E-2</v>
      </c>
      <c r="BA50" s="154">
        <f>HLOOKUP(BA$1,'Asset Returns'!$F$1:$ZS$109,ROW(),0)</f>
        <v>0.13017870000000001</v>
      </c>
      <c r="BB50" s="273" t="e">
        <f>IF(IF(Funds!$J$10="no",BG50,BL50)=0,NA(),IF(Funds!$J$10="no",BG50,BL50))</f>
        <v>#N/A</v>
      </c>
      <c r="BC50" s="273" t="e">
        <f>IF(IF(Funds!$J$10="no",BH50,BM50)=0,NA(),IF(Funds!$J$10="no",BH50,BM50))</f>
        <v>#N/A</v>
      </c>
      <c r="BD50" s="273" t="e">
        <f>IF(IF(Funds!$J$10="no",BI50,BN50)=0,NA(),IF(Funds!$J$10="no",BI50,BN50))</f>
        <v>#N/A</v>
      </c>
      <c r="BE50" s="273" t="e">
        <f>IF(IF(Funds!$J$10="no",BJ50,BO50)=0,NA(),IF(Funds!$J$10="no",BJ50,BO50))</f>
        <v>#N/A</v>
      </c>
      <c r="BF50" s="273" t="e">
        <f>IF(IF(Funds!$J$10="no",BK50,BP50)=0,NA(),IF(Funds!$J$10="no",BK50,BP50))</f>
        <v>#N/A</v>
      </c>
      <c r="BG50" s="274">
        <f ca="1">Funds!$R$34</f>
        <v>2.5919346055080732</v>
      </c>
      <c r="BH50" s="274">
        <f ca="1">Funds!$R$36</f>
        <v>1.3378677483181089E-2</v>
      </c>
      <c r="BI50" s="274">
        <f ca="1">Funds!$R$38</f>
        <v>-0.15972963753204919</v>
      </c>
      <c r="BJ50" s="274">
        <f ca="1">Funds!$R$40</f>
        <v>-0.16887551350866659</v>
      </c>
      <c r="BK50" s="274">
        <f ca="1">Funds!$R$42</f>
        <v>-1.9222891726906419</v>
      </c>
      <c r="BL50" s="274"/>
      <c r="BM50" s="274"/>
      <c r="BN50" s="274"/>
      <c r="BO50" s="274"/>
      <c r="BP50" s="274"/>
      <c r="BR50" s="154" t="s">
        <v>78</v>
      </c>
      <c r="BS50" s="158">
        <v>0.1054706</v>
      </c>
      <c r="BT50" s="154"/>
      <c r="BU50" s="154"/>
      <c r="BX50" s="154"/>
      <c r="BZ50" s="154"/>
      <c r="CA50" s="154"/>
      <c r="CB50" s="154"/>
      <c r="CE50" s="154"/>
      <c r="CG50" s="218"/>
      <c r="CH50" s="154" t="s">
        <v>123</v>
      </c>
      <c r="CI50" s="158">
        <v>-0.1642324</v>
      </c>
      <c r="CJ50" s="153" t="e">
        <f t="shared" si="16"/>
        <v>#N/A</v>
      </c>
      <c r="CK50" s="153" t="s">
        <v>77</v>
      </c>
      <c r="CL50" s="158">
        <v>0.25648320000000002</v>
      </c>
      <c r="CM50" s="153" t="str">
        <f t="shared" si="17"/>
        <v>Mexico</v>
      </c>
      <c r="CN50" s="154"/>
      <c r="CO50" s="209" t="s">
        <v>86</v>
      </c>
      <c r="CP50" s="157">
        <v>4.2787400000000003E-2</v>
      </c>
      <c r="CQ50" s="210"/>
      <c r="CR50" s="209" t="s">
        <v>85</v>
      </c>
      <c r="CS50" s="158">
        <v>0.59999780000000003</v>
      </c>
      <c r="CT50" s="154"/>
    </row>
    <row r="51" spans="6:98">
      <c r="F51" s="421">
        <v>41698</v>
      </c>
      <c r="G51" s="272">
        <f>BMG!F51</f>
        <v>-3.3100999999999998E-3</v>
      </c>
      <c r="H51" s="272" t="e">
        <f>IF('Carbon Risk Factor BMG'!$G$10="yes",AVERAGE(AC!$G15:$G50),NA())</f>
        <v>#N/A</v>
      </c>
      <c r="I51" s="272" t="e">
        <f>IF('Carbon Risk Factor BMG'!$G$11="yes",MIN(AC!$G15:$G50),NA())</f>
        <v>#N/A</v>
      </c>
      <c r="J51" s="272" t="e">
        <f>IF('Carbon Risk Factor BMG'!$G$12="yes",MAX(AC!$G15:$G50),NA())</f>
        <v>#N/A</v>
      </c>
      <c r="K51" s="272" t="e">
        <f>IF('Carbon Risk Factor BMG'!$G$13="yes",_xlfn.STDEV.S(AC!$G15:$G50),NA())</f>
        <v>#N/A</v>
      </c>
      <c r="L51" s="272" t="e">
        <f>IF('Carbon Risk Factor BMG'!$G$14="yes",_xlfn.PERCENTILE.INC(AC!$G15:$G50,'Carbon Risk Factor BMG'!$H$14),NA())</f>
        <v>#N/A</v>
      </c>
      <c r="M51" s="272" t="e">
        <f>IF('Carbon Risk Factor BMG'!$G$15="yes",_xlfn.PERCENTILE.INC(AC!$G15:$G50,'Carbon Risk Factor BMG'!$H$15),NA())</f>
        <v>#N/A</v>
      </c>
      <c r="N51" s="272">
        <f t="shared" si="25"/>
        <v>-0.12209656682452319</v>
      </c>
      <c r="O51" s="272"/>
      <c r="P51" s="421">
        <v>41698</v>
      </c>
      <c r="Q51" s="154">
        <f>HLOOKUP(Q$1,'Asset Returns'!$F$1:$N$109,ROW(),0)</f>
        <v>0.20581063628196716</v>
      </c>
      <c r="R51" s="154">
        <f>HLOOKUP(R$1,'Asset Returns'!$F$1:$N$109,ROW(),0)</f>
        <v>-1.4790707267820835E-2</v>
      </c>
      <c r="S51" s="154">
        <f>HLOOKUP(S$1,'Asset Returns'!$F$1:$N$109,ROW(),0)</f>
        <v>8.8651753962039948E-2</v>
      </c>
      <c r="T51" s="154">
        <f>HLOOKUP(T$1,'Asset Returns'!$F$1:$N$109,ROW(),0)</f>
        <v>5.3753156214952469E-2</v>
      </c>
      <c r="U51" s="154">
        <f>HLOOKUP(U$1,'Asset Returns'!$F$1:$N$109,ROW(),0)</f>
        <v>0.15948639810085297</v>
      </c>
      <c r="V51" s="273" t="e">
        <f>IF(IF(Equity!$J$10="no",AA51,AF51)=0,NA(),IF(Equity!$J$10="no",AA51,AF51))</f>
        <v>#N/A</v>
      </c>
      <c r="W51" s="273" t="e">
        <f>IF(IF(Equity!$J$10="no",AB51,AG51)=0,NA(),IF(Equity!$J$10="no",AB51,AG51))</f>
        <v>#N/A</v>
      </c>
      <c r="X51" s="273" t="e">
        <f>IF(IF(Equity!$J$10="no",AC51,AH51)=0,NA(),IF(Equity!$J$10="no",AC51,AH51))</f>
        <v>#N/A</v>
      </c>
      <c r="Y51" s="273" t="e">
        <f>IF(IF(Equity!$J$10="no",AD51,AI51)=0,NA(),IF(Equity!$J$10="no",AD51,AI51))</f>
        <v>#N/A</v>
      </c>
      <c r="Z51" s="273" t="e">
        <f>IF(IF(Equity!$J$10="no",AE51,AJ51)=0,NA(),IF(Equity!$J$10="no",AE51,AJ51))</f>
        <v>#N/A</v>
      </c>
      <c r="AA51" s="274">
        <f ca="1">Equity!$R$34</f>
        <v>0.64097224418739052</v>
      </c>
      <c r="AB51" s="274">
        <f ca="1">Equity!$R$36</f>
        <v>-0.78557102570241866</v>
      </c>
      <c r="AC51" s="274">
        <f ca="1">Equity!$R$38</f>
        <v>0.9378377404978776</v>
      </c>
      <c r="AD51" s="274">
        <f ca="1">Equity!$R$40</f>
        <v>0.17519882647973573</v>
      </c>
      <c r="AE51" s="274">
        <f ca="1">Equity!$R$42</f>
        <v>7.3760094442444454E-2</v>
      </c>
      <c r="AF51" s="274"/>
      <c r="AG51" s="274"/>
      <c r="AH51" s="274"/>
      <c r="AI51" s="274"/>
      <c r="AJ51" s="274"/>
      <c r="AK51" s="274"/>
      <c r="AL51" s="421">
        <v>41698</v>
      </c>
      <c r="AM51" s="154">
        <f>HLOOKUP(AM$1,'Asset Returns'!$F$1:$ZS$109,ROW(),0)</f>
        <v>4.2482195516018173E-3</v>
      </c>
      <c r="AN51" s="154">
        <f>HLOOKUP(AN$1,'Asset Returns'!$F$1:$ZS$109,ROW(),0)</f>
        <v>7.7219066565454852E-3</v>
      </c>
      <c r="AO51" s="273">
        <f ca="1">IF(IF(Bonds!$J$10="no",AQ51,AS51)=0,NA(),IF(Bonds!$J$10="no",AQ51,AS51))</f>
        <v>-0.12498736259259137</v>
      </c>
      <c r="AP51" s="273">
        <f ca="1">IF(IF(Bonds!$J$10="no",AR51,AT51)=0,NA(),IF(Bonds!$J$10="no",AR51,AT51))</f>
        <v>0.19970923689173462</v>
      </c>
      <c r="AQ51" s="273">
        <f ca="1">Bonds!$P$32</f>
        <v>-0.12498736259259137</v>
      </c>
      <c r="AR51" s="273">
        <f ca="1">Bonds!$P$34</f>
        <v>0.19970923689173462</v>
      </c>
      <c r="AS51" s="274"/>
      <c r="AT51" s="274"/>
      <c r="AU51" s="274"/>
      <c r="AV51" s="421">
        <v>41698</v>
      </c>
      <c r="AW51" s="154">
        <f>HLOOKUP(AW$1,'Asset Returns'!$F$1:$ZS$109,ROW(),0)</f>
        <v>0.1532258</v>
      </c>
      <c r="AX51" s="154">
        <f>HLOOKUP(AX$1,'Asset Returns'!$F$1:$ZS$109,ROW(),0)</f>
        <v>4.9546400000000004E-2</v>
      </c>
      <c r="AY51" s="154">
        <f>HLOOKUP(AY$1,'Asset Returns'!$F$1:$ZS$109,ROW(),0)</f>
        <v>5.6364049999999999E-2</v>
      </c>
      <c r="AZ51" s="154">
        <f>HLOOKUP(AZ$1,'Asset Returns'!$F$1:$ZS$109,ROW(),0)</f>
        <v>5.6516749999999998E-2</v>
      </c>
      <c r="BA51" s="154">
        <f>HLOOKUP(BA$1,'Asset Returns'!$F$1:$ZS$109,ROW(),0)</f>
        <v>-0.1069182</v>
      </c>
      <c r="BB51" s="273" t="e">
        <f>IF(IF(Funds!$J$10="no",BG51,BL51)=0,NA(),IF(Funds!$J$10="no",BG51,BL51))</f>
        <v>#N/A</v>
      </c>
      <c r="BC51" s="273" t="e">
        <f>IF(IF(Funds!$J$10="no",BH51,BM51)=0,NA(),IF(Funds!$J$10="no",BH51,BM51))</f>
        <v>#N/A</v>
      </c>
      <c r="BD51" s="273" t="e">
        <f>IF(IF(Funds!$J$10="no",BI51,BN51)=0,NA(),IF(Funds!$J$10="no",BI51,BN51))</f>
        <v>#N/A</v>
      </c>
      <c r="BE51" s="273" t="e">
        <f>IF(IF(Funds!$J$10="no",BJ51,BO51)=0,NA(),IF(Funds!$J$10="no",BJ51,BO51))</f>
        <v>#N/A</v>
      </c>
      <c r="BF51" s="273" t="e">
        <f>IF(IF(Funds!$J$10="no",BK51,BP51)=0,NA(),IF(Funds!$J$10="no",BK51,BP51))</f>
        <v>#N/A</v>
      </c>
      <c r="BG51" s="274">
        <f ca="1">Funds!$R$34</f>
        <v>2.5919346055080732</v>
      </c>
      <c r="BH51" s="274">
        <f ca="1">Funds!$R$36</f>
        <v>1.3378677483181089E-2</v>
      </c>
      <c r="BI51" s="274">
        <f ca="1">Funds!$R$38</f>
        <v>-0.15972963753204919</v>
      </c>
      <c r="BJ51" s="274">
        <f ca="1">Funds!$R$40</f>
        <v>-0.16887551350866659</v>
      </c>
      <c r="BK51" s="274">
        <f ca="1">Funds!$R$42</f>
        <v>-1.9222891726906419</v>
      </c>
      <c r="BL51" s="274"/>
      <c r="BM51" s="274"/>
      <c r="BN51" s="274"/>
      <c r="BO51" s="274"/>
      <c r="BP51" s="274"/>
      <c r="BR51" s="154" t="s">
        <v>79</v>
      </c>
      <c r="BS51" s="158">
        <v>-5.98548E-2</v>
      </c>
      <c r="BT51" s="154"/>
      <c r="BU51" s="154"/>
      <c r="BX51" s="154"/>
      <c r="BZ51" s="154"/>
      <c r="CA51" s="154"/>
      <c r="CB51" s="154"/>
      <c r="CE51" s="154"/>
      <c r="CG51" s="218"/>
      <c r="CH51" s="154" t="s">
        <v>75</v>
      </c>
      <c r="CI51" s="158">
        <v>-0.23275580000000001</v>
      </c>
      <c r="CJ51" s="153" t="str">
        <f t="shared" si="16"/>
        <v>Morocco</v>
      </c>
      <c r="CK51" s="153" t="s">
        <v>123</v>
      </c>
      <c r="CL51" s="158">
        <v>-0.1642324</v>
      </c>
      <c r="CM51" s="153" t="e">
        <f t="shared" si="17"/>
        <v>#N/A</v>
      </c>
      <c r="CN51" s="154"/>
      <c r="CO51" s="209" t="s">
        <v>88</v>
      </c>
      <c r="CP51" s="157">
        <v>-0.39985189999999998</v>
      </c>
      <c r="CQ51" s="210"/>
      <c r="CR51" s="209" t="s">
        <v>84</v>
      </c>
      <c r="CS51" s="158">
        <v>7.1563699999999994E-2</v>
      </c>
      <c r="CT51" s="154"/>
    </row>
    <row r="52" spans="6:98">
      <c r="F52" s="421">
        <v>41729</v>
      </c>
      <c r="G52" s="272">
        <f>BMG!F52</f>
        <v>1.31115E-2</v>
      </c>
      <c r="H52" s="272" t="e">
        <f>IF('Carbon Risk Factor BMG'!$G$10="yes",AVERAGE(AC!$G16:$G51),NA())</f>
        <v>#N/A</v>
      </c>
      <c r="I52" s="272" t="e">
        <f>IF('Carbon Risk Factor BMG'!$G$11="yes",MIN(AC!$G16:$G51),NA())</f>
        <v>#N/A</v>
      </c>
      <c r="J52" s="272" t="e">
        <f>IF('Carbon Risk Factor BMG'!$G$12="yes",MAX(AC!$G16:$G51),NA())</f>
        <v>#N/A</v>
      </c>
      <c r="K52" s="272" t="e">
        <f>IF('Carbon Risk Factor BMG'!$G$13="yes",_xlfn.STDEV.S(AC!$G16:$G51),NA())</f>
        <v>#N/A</v>
      </c>
      <c r="L52" s="272" t="e">
        <f>IF('Carbon Risk Factor BMG'!$G$14="yes",_xlfn.PERCENTILE.INC(AC!$G16:$G51,'Carbon Risk Factor BMG'!$H$14),NA())</f>
        <v>#N/A</v>
      </c>
      <c r="M52" s="272" t="e">
        <f>IF('Carbon Risk Factor BMG'!$G$15="yes",_xlfn.PERCENTILE.INC(AC!$G16:$G51,'Carbon Risk Factor BMG'!$H$15),NA())</f>
        <v>#N/A</v>
      </c>
      <c r="N52" s="272">
        <f t="shared" si="25"/>
        <v>-0.11058593596044297</v>
      </c>
      <c r="O52" s="272"/>
      <c r="P52" s="421">
        <v>41729</v>
      </c>
      <c r="Q52" s="154">
        <f>HLOOKUP(Q$1,'Asset Returns'!$F$1:$N$109,ROW(),0)</f>
        <v>-7.7501009218394756E-3</v>
      </c>
      <c r="R52" s="154">
        <f>HLOOKUP(R$1,'Asset Returns'!$F$1:$N$109,ROW(),0)</f>
        <v>6.113861221820116E-3</v>
      </c>
      <c r="S52" s="154">
        <f>HLOOKUP(S$1,'Asset Returns'!$F$1:$N$109,ROW(),0)</f>
        <v>-5.3324155509471893E-2</v>
      </c>
      <c r="T52" s="154">
        <f>HLOOKUP(T$1,'Asset Returns'!$F$1:$N$109,ROW(),0)</f>
        <v>3.9531238377094269E-2</v>
      </c>
      <c r="U52" s="154">
        <f>HLOOKUP(U$1,'Asset Returns'!$F$1:$N$109,ROW(),0)</f>
        <v>-4.2109865695238113E-2</v>
      </c>
      <c r="V52" s="273" t="e">
        <f>IF(IF(Equity!$J$10="no",AA52,AF52)=0,NA(),IF(Equity!$J$10="no",AA52,AF52))</f>
        <v>#N/A</v>
      </c>
      <c r="W52" s="273" t="e">
        <f>IF(IF(Equity!$J$10="no",AB52,AG52)=0,NA(),IF(Equity!$J$10="no",AB52,AG52))</f>
        <v>#N/A</v>
      </c>
      <c r="X52" s="273" t="e">
        <f>IF(IF(Equity!$J$10="no",AC52,AH52)=0,NA(),IF(Equity!$J$10="no",AC52,AH52))</f>
        <v>#N/A</v>
      </c>
      <c r="Y52" s="273" t="e">
        <f>IF(IF(Equity!$J$10="no",AD52,AI52)=0,NA(),IF(Equity!$J$10="no",AD52,AI52))</f>
        <v>#N/A</v>
      </c>
      <c r="Z52" s="273" t="e">
        <f>IF(IF(Equity!$J$10="no",AE52,AJ52)=0,NA(),IF(Equity!$J$10="no",AE52,AJ52))</f>
        <v>#N/A</v>
      </c>
      <c r="AA52" s="274">
        <f ca="1">Equity!$R$34</f>
        <v>0.64097224418739052</v>
      </c>
      <c r="AB52" s="274">
        <f ca="1">Equity!$R$36</f>
        <v>-0.78557102570241866</v>
      </c>
      <c r="AC52" s="274">
        <f ca="1">Equity!$R$38</f>
        <v>0.9378377404978776</v>
      </c>
      <c r="AD52" s="274">
        <f ca="1">Equity!$R$40</f>
        <v>0.17519882647973573</v>
      </c>
      <c r="AE52" s="274">
        <f ca="1">Equity!$R$42</f>
        <v>7.3760094442444454E-2</v>
      </c>
      <c r="AF52" s="274"/>
      <c r="AG52" s="274"/>
      <c r="AH52" s="274"/>
      <c r="AI52" s="274"/>
      <c r="AJ52" s="274"/>
      <c r="AK52" s="274"/>
      <c r="AL52" s="421">
        <v>41729</v>
      </c>
      <c r="AM52" s="154">
        <f>HLOOKUP(AM$1,'Asset Returns'!$F$1:$ZS$109,ROW(),0)</f>
        <v>-1.8938612643493169E-3</v>
      </c>
      <c r="AN52" s="154">
        <f>HLOOKUP(AN$1,'Asset Returns'!$F$1:$ZS$109,ROW(),0)</f>
        <v>9.3563301989714187E-3</v>
      </c>
      <c r="AO52" s="273">
        <f ca="1">IF(IF(Bonds!$J$10="no",AQ52,AS52)=0,NA(),IF(Bonds!$J$10="no",AQ52,AS52))</f>
        <v>-0.12498736259259137</v>
      </c>
      <c r="AP52" s="273">
        <f ca="1">IF(IF(Bonds!$J$10="no",AR52,AT52)=0,NA(),IF(Bonds!$J$10="no",AR52,AT52))</f>
        <v>0.19970923689173462</v>
      </c>
      <c r="AQ52" s="273">
        <f ca="1">Bonds!$P$32</f>
        <v>-0.12498736259259137</v>
      </c>
      <c r="AR52" s="273">
        <f ca="1">Bonds!$P$34</f>
        <v>0.19970923689173462</v>
      </c>
      <c r="AS52" s="274"/>
      <c r="AT52" s="274"/>
      <c r="AU52" s="274"/>
      <c r="AV52" s="421">
        <v>41729</v>
      </c>
      <c r="AW52" s="154">
        <f>HLOOKUP(AW$1,'Asset Returns'!$F$1:$ZS$109,ROW(),0)</f>
        <v>-8.9510500000000007E-2</v>
      </c>
      <c r="AX52" s="154">
        <f>HLOOKUP(AX$1,'Asset Returns'!$F$1:$ZS$109,ROW(),0)</f>
        <v>1.5677E-3</v>
      </c>
      <c r="AY52" s="154">
        <f>HLOOKUP(AY$1,'Asset Returns'!$F$1:$ZS$109,ROW(),0)</f>
        <v>-4.2629599999999997E-3</v>
      </c>
      <c r="AZ52" s="154">
        <f>HLOOKUP(AZ$1,'Asset Returns'!$F$1:$ZS$109,ROW(),0)</f>
        <v>-9.5937000000000001E-3</v>
      </c>
      <c r="BA52" s="154">
        <f>HLOOKUP(BA$1,'Asset Returns'!$F$1:$ZS$109,ROW(),0)</f>
        <v>-5.2112699999999998E-2</v>
      </c>
      <c r="BB52" s="273" t="e">
        <f>IF(IF(Funds!$J$10="no",BG52,BL52)=0,NA(),IF(Funds!$J$10="no",BG52,BL52))</f>
        <v>#N/A</v>
      </c>
      <c r="BC52" s="273" t="e">
        <f>IF(IF(Funds!$J$10="no",BH52,BM52)=0,NA(),IF(Funds!$J$10="no",BH52,BM52))</f>
        <v>#N/A</v>
      </c>
      <c r="BD52" s="273" t="e">
        <f>IF(IF(Funds!$J$10="no",BI52,BN52)=0,NA(),IF(Funds!$J$10="no",BI52,BN52))</f>
        <v>#N/A</v>
      </c>
      <c r="BE52" s="273" t="e">
        <f>IF(IF(Funds!$J$10="no",BJ52,BO52)=0,NA(),IF(Funds!$J$10="no",BJ52,BO52))</f>
        <v>#N/A</v>
      </c>
      <c r="BF52" s="273" t="e">
        <f>IF(IF(Funds!$J$10="no",BK52,BP52)=0,NA(),IF(Funds!$J$10="no",BK52,BP52))</f>
        <v>#N/A</v>
      </c>
      <c r="BG52" s="274">
        <f ca="1">Funds!$R$34</f>
        <v>2.5919346055080732</v>
      </c>
      <c r="BH52" s="274">
        <f ca="1">Funds!$R$36</f>
        <v>1.3378677483181089E-2</v>
      </c>
      <c r="BI52" s="274">
        <f ca="1">Funds!$R$38</f>
        <v>-0.15972963753204919</v>
      </c>
      <c r="BJ52" s="274">
        <f ca="1">Funds!$R$40</f>
        <v>-0.16887551350866659</v>
      </c>
      <c r="BK52" s="274">
        <f ca="1">Funds!$R$42</f>
        <v>-1.9222891726906419</v>
      </c>
      <c r="BL52" s="274"/>
      <c r="BM52" s="274"/>
      <c r="BN52" s="274"/>
      <c r="BO52" s="274"/>
      <c r="BP52" s="274"/>
      <c r="BR52" s="154" t="s">
        <v>80</v>
      </c>
      <c r="BS52" s="158">
        <v>-0.50088969999999999</v>
      </c>
      <c r="BT52" s="154"/>
      <c r="BU52" s="154"/>
      <c r="BX52" s="154"/>
      <c r="BZ52" s="154"/>
      <c r="CA52" s="154"/>
      <c r="CB52" s="154"/>
      <c r="CE52" s="154"/>
      <c r="CG52" s="218"/>
      <c r="CH52" s="154" t="s">
        <v>80</v>
      </c>
      <c r="CI52" s="158">
        <v>-0.71786989999999995</v>
      </c>
      <c r="CJ52" s="153" t="str">
        <f t="shared" si="16"/>
        <v>Netherlands</v>
      </c>
      <c r="CK52" s="153" t="s">
        <v>75</v>
      </c>
      <c r="CL52" s="158">
        <v>-0.24999879999999999</v>
      </c>
      <c r="CM52" s="153" t="str">
        <f t="shared" si="17"/>
        <v>Morocco</v>
      </c>
      <c r="CN52" s="154"/>
      <c r="CO52" s="209" t="s">
        <v>89</v>
      </c>
      <c r="CP52" s="157">
        <v>-0.70958659999999996</v>
      </c>
      <c r="CQ52" s="210"/>
      <c r="CR52" s="209" t="s">
        <v>86</v>
      </c>
      <c r="CS52" s="158">
        <v>4.9405699999999997E-2</v>
      </c>
      <c r="CT52" s="154"/>
    </row>
    <row r="53" spans="6:98">
      <c r="F53" s="421">
        <v>41759</v>
      </c>
      <c r="G53" s="272">
        <f>BMG!F53</f>
        <v>5.4641999999999998E-3</v>
      </c>
      <c r="H53" s="272" t="e">
        <f>IF('Carbon Risk Factor BMG'!$G$10="yes",AVERAGE(AC!$G17:$G52),NA())</f>
        <v>#N/A</v>
      </c>
      <c r="I53" s="272" t="e">
        <f>IF('Carbon Risk Factor BMG'!$G$11="yes",MIN(AC!$G17:$G52),NA())</f>
        <v>#N/A</v>
      </c>
      <c r="J53" s="272" t="e">
        <f>IF('Carbon Risk Factor BMG'!$G$12="yes",MAX(AC!$G17:$G52),NA())</f>
        <v>#N/A</v>
      </c>
      <c r="K53" s="272" t="e">
        <f>IF('Carbon Risk Factor BMG'!$G$13="yes",_xlfn.STDEV.S(AC!$G17:$G52),NA())</f>
        <v>#N/A</v>
      </c>
      <c r="L53" s="272" t="e">
        <f>IF('Carbon Risk Factor BMG'!$G$14="yes",_xlfn.PERCENTILE.INC(AC!$G17:$G52,'Carbon Risk Factor BMG'!$H$14),NA())</f>
        <v>#N/A</v>
      </c>
      <c r="M53" s="272" t="e">
        <f>IF('Carbon Risk Factor BMG'!$G$15="yes",_xlfn.PERCENTILE.INC(AC!$G17:$G52,'Carbon Risk Factor BMG'!$H$15),NA())</f>
        <v>#N/A</v>
      </c>
      <c r="N53" s="272">
        <f t="shared" si="25"/>
        <v>-0.10572599963171803</v>
      </c>
      <c r="O53" s="272"/>
      <c r="P53" s="421">
        <v>41759</v>
      </c>
      <c r="Q53" s="154">
        <f>HLOOKUP(Q$1,'Asset Returns'!$F$1:$N$109,ROW(),0)</f>
        <v>3.0166223645210266E-2</v>
      </c>
      <c r="R53" s="154">
        <f>HLOOKUP(R$1,'Asset Returns'!$F$1:$N$109,ROW(),0)</f>
        <v>-4.5466713607311249E-2</v>
      </c>
      <c r="S53" s="154">
        <f>HLOOKUP(S$1,'Asset Returns'!$F$1:$N$109,ROW(),0)</f>
        <v>5.3363952785730362E-2</v>
      </c>
      <c r="T53" s="154">
        <f>HLOOKUP(T$1,'Asset Returns'!$F$1:$N$109,ROW(),0)</f>
        <v>2.0676396787166595E-2</v>
      </c>
      <c r="U53" s="154">
        <f>HLOOKUP(U$1,'Asset Returns'!$F$1:$N$109,ROW(),0)</f>
        <v>-6.1606328934431076E-2</v>
      </c>
      <c r="V53" s="273" t="e">
        <f>IF(IF(Equity!$J$10="no",AA53,AF53)=0,NA(),IF(Equity!$J$10="no",AA53,AF53))</f>
        <v>#N/A</v>
      </c>
      <c r="W53" s="273" t="e">
        <f>IF(IF(Equity!$J$10="no",AB53,AG53)=0,NA(),IF(Equity!$J$10="no",AB53,AG53))</f>
        <v>#N/A</v>
      </c>
      <c r="X53" s="273" t="e">
        <f>IF(IF(Equity!$J$10="no",AC53,AH53)=0,NA(),IF(Equity!$J$10="no",AC53,AH53))</f>
        <v>#N/A</v>
      </c>
      <c r="Y53" s="273" t="e">
        <f>IF(IF(Equity!$J$10="no",AD53,AI53)=0,NA(),IF(Equity!$J$10="no",AD53,AI53))</f>
        <v>#N/A</v>
      </c>
      <c r="Z53" s="273" t="e">
        <f>IF(IF(Equity!$J$10="no",AE53,AJ53)=0,NA(),IF(Equity!$J$10="no",AE53,AJ53))</f>
        <v>#N/A</v>
      </c>
      <c r="AA53" s="274">
        <f ca="1">Equity!$R$34</f>
        <v>0.64097224418739052</v>
      </c>
      <c r="AB53" s="274">
        <f ca="1">Equity!$R$36</f>
        <v>-0.78557102570241866</v>
      </c>
      <c r="AC53" s="274">
        <f ca="1">Equity!$R$38</f>
        <v>0.9378377404978776</v>
      </c>
      <c r="AD53" s="274">
        <f ca="1">Equity!$R$40</f>
        <v>0.17519882647973573</v>
      </c>
      <c r="AE53" s="274">
        <f ca="1">Equity!$R$42</f>
        <v>7.3760094442444454E-2</v>
      </c>
      <c r="AF53" s="274"/>
      <c r="AG53" s="274"/>
      <c r="AH53" s="274"/>
      <c r="AI53" s="274"/>
      <c r="AJ53" s="274"/>
      <c r="AK53" s="274"/>
      <c r="AL53" s="421">
        <v>41759</v>
      </c>
      <c r="AM53" s="154">
        <f>HLOOKUP(AM$1,'Asset Returns'!$F$1:$ZS$109,ROW(),0)</f>
        <v>1.0156079745703428E-2</v>
      </c>
      <c r="AN53" s="154">
        <f>HLOOKUP(AN$1,'Asset Returns'!$F$1:$ZS$109,ROW(),0)</f>
        <v>1.3330519684390918E-2</v>
      </c>
      <c r="AO53" s="273">
        <f ca="1">IF(IF(Bonds!$J$10="no",AQ53,AS53)=0,NA(),IF(Bonds!$J$10="no",AQ53,AS53))</f>
        <v>-0.12498736259259137</v>
      </c>
      <c r="AP53" s="273">
        <f ca="1">IF(IF(Bonds!$J$10="no",AR53,AT53)=0,NA(),IF(Bonds!$J$10="no",AR53,AT53))</f>
        <v>0.19970923689173462</v>
      </c>
      <c r="AQ53" s="273">
        <f ca="1">Bonds!$P$32</f>
        <v>-0.12498736259259137</v>
      </c>
      <c r="AR53" s="273">
        <f ca="1">Bonds!$P$34</f>
        <v>0.19970923689173462</v>
      </c>
      <c r="AS53" s="274"/>
      <c r="AT53" s="274"/>
      <c r="AU53" s="274"/>
      <c r="AV53" s="421">
        <v>41759</v>
      </c>
      <c r="AW53" s="154">
        <f>HLOOKUP(AW$1,'Asset Returns'!$F$1:$ZS$109,ROW(),0)</f>
        <v>6.1443999999999995E-3</v>
      </c>
      <c r="AX53" s="154">
        <f>HLOOKUP(AX$1,'Asset Returns'!$F$1:$ZS$109,ROW(),0)</f>
        <v>1.05822E-2</v>
      </c>
      <c r="AY53" s="154">
        <f>HLOOKUP(AY$1,'Asset Returns'!$F$1:$ZS$109,ROW(),0)</f>
        <v>2.2959920000000002E-2</v>
      </c>
      <c r="AZ53" s="154">
        <f>HLOOKUP(AZ$1,'Asset Returns'!$F$1:$ZS$109,ROW(),0)</f>
        <v>-6.4374299999999992E-3</v>
      </c>
      <c r="BA53" s="154">
        <f>HLOOKUP(BA$1,'Asset Returns'!$F$1:$ZS$109,ROW(),0)</f>
        <v>-9.7006999999999996E-2</v>
      </c>
      <c r="BB53" s="273" t="e">
        <f>IF(IF(Funds!$J$10="no",BG53,BL53)=0,NA(),IF(Funds!$J$10="no",BG53,BL53))</f>
        <v>#N/A</v>
      </c>
      <c r="BC53" s="273" t="e">
        <f>IF(IF(Funds!$J$10="no",BH53,BM53)=0,NA(),IF(Funds!$J$10="no",BH53,BM53))</f>
        <v>#N/A</v>
      </c>
      <c r="BD53" s="273" t="e">
        <f>IF(IF(Funds!$J$10="no",BI53,BN53)=0,NA(),IF(Funds!$J$10="no",BI53,BN53))</f>
        <v>#N/A</v>
      </c>
      <c r="BE53" s="273" t="e">
        <f>IF(IF(Funds!$J$10="no",BJ53,BO53)=0,NA(),IF(Funds!$J$10="no",BJ53,BO53))</f>
        <v>#N/A</v>
      </c>
      <c r="BF53" s="273" t="e">
        <f>IF(IF(Funds!$J$10="no",BK53,BP53)=0,NA(),IF(Funds!$J$10="no",BK53,BP53))</f>
        <v>#N/A</v>
      </c>
      <c r="BG53" s="274">
        <f ca="1">Funds!$R$34</f>
        <v>2.5919346055080732</v>
      </c>
      <c r="BH53" s="274">
        <f ca="1">Funds!$R$36</f>
        <v>1.3378677483181089E-2</v>
      </c>
      <c r="BI53" s="274">
        <f ca="1">Funds!$R$38</f>
        <v>-0.15972963753204919</v>
      </c>
      <c r="BJ53" s="274">
        <f ca="1">Funds!$R$40</f>
        <v>-0.16887551350866659</v>
      </c>
      <c r="BK53" s="274">
        <f ca="1">Funds!$R$42</f>
        <v>-1.9222891726906419</v>
      </c>
      <c r="BL53" s="274"/>
      <c r="BM53" s="274"/>
      <c r="BN53" s="274"/>
      <c r="BO53" s="274"/>
      <c r="BP53" s="274"/>
      <c r="BR53" s="154" t="s">
        <v>81</v>
      </c>
      <c r="BS53" s="158">
        <v>-0.14573040000000001</v>
      </c>
      <c r="BT53" s="154"/>
      <c r="BU53" s="154"/>
      <c r="BX53" s="154"/>
      <c r="BZ53" s="154"/>
      <c r="CA53" s="154"/>
      <c r="CB53" s="154"/>
      <c r="CE53" s="154"/>
      <c r="CG53" s="218"/>
      <c r="CH53" s="154" t="s">
        <v>82</v>
      </c>
      <c r="CI53" s="158">
        <v>5.0691600000000003E-2</v>
      </c>
      <c r="CJ53" s="153" t="str">
        <f t="shared" si="16"/>
        <v>New Zealand</v>
      </c>
      <c r="CK53" s="153" t="s">
        <v>128</v>
      </c>
      <c r="CL53" s="158">
        <v>0.61952989999999997</v>
      </c>
      <c r="CM53" s="153" t="e">
        <f t="shared" si="17"/>
        <v>#N/A</v>
      </c>
      <c r="CN53" s="154"/>
      <c r="CO53" s="209" t="s">
        <v>90</v>
      </c>
      <c r="CP53" s="157">
        <v>-1.66316E-2</v>
      </c>
      <c r="CQ53" s="210"/>
      <c r="CR53" s="209" t="s">
        <v>88</v>
      </c>
      <c r="CS53" s="158">
        <v>-0.32940049999999998</v>
      </c>
      <c r="CT53" s="154"/>
    </row>
    <row r="54" spans="6:98">
      <c r="F54" s="421">
        <v>41790</v>
      </c>
      <c r="G54" s="272">
        <f>BMG!F54</f>
        <v>-5.1414E-3</v>
      </c>
      <c r="H54" s="272" t="e">
        <f>IF('Carbon Risk Factor BMG'!$G$10="yes",AVERAGE(AC!$G18:$G53),NA())</f>
        <v>#N/A</v>
      </c>
      <c r="I54" s="272" t="e">
        <f>IF('Carbon Risk Factor BMG'!$G$11="yes",MIN(AC!$G18:$G53),NA())</f>
        <v>#N/A</v>
      </c>
      <c r="J54" s="272" t="e">
        <f>IF('Carbon Risk Factor BMG'!$G$12="yes",MAX(AC!$G18:$G53),NA())</f>
        <v>#N/A</v>
      </c>
      <c r="K54" s="272" t="e">
        <f>IF('Carbon Risk Factor BMG'!$G$13="yes",_xlfn.STDEV.S(AC!$G18:$G53),NA())</f>
        <v>#N/A</v>
      </c>
      <c r="L54" s="272" t="e">
        <f>IF('Carbon Risk Factor BMG'!$G$14="yes",_xlfn.PERCENTILE.INC(AC!$G18:$G53,'Carbon Risk Factor BMG'!$H$14),NA())</f>
        <v>#N/A</v>
      </c>
      <c r="M54" s="272" t="e">
        <f>IF('Carbon Risk Factor BMG'!$G$15="yes",_xlfn.PERCENTILE.INC(AC!$G18:$G53,'Carbon Risk Factor BMG'!$H$15),NA())</f>
        <v>#N/A</v>
      </c>
      <c r="N54" s="272">
        <f t="shared" si="25"/>
        <v>-0.11032381997721152</v>
      </c>
      <c r="O54" s="272"/>
      <c r="P54" s="421">
        <v>41790</v>
      </c>
      <c r="Q54" s="154">
        <f>HLOOKUP(Q$1,'Asset Returns'!$F$1:$N$109,ROW(),0)</f>
        <v>2.1469922736287117E-2</v>
      </c>
      <c r="R54" s="154">
        <f>HLOOKUP(R$1,'Asset Returns'!$F$1:$N$109,ROW(),0)</f>
        <v>4.8574361950159073E-2</v>
      </c>
      <c r="S54" s="154">
        <f>HLOOKUP(S$1,'Asset Returns'!$F$1:$N$109,ROW(),0)</f>
        <v>1.2511732988059521E-2</v>
      </c>
      <c r="T54" s="154">
        <f>HLOOKUP(T$1,'Asset Returns'!$F$1:$N$109,ROW(),0)</f>
        <v>-5.6185193359851837E-2</v>
      </c>
      <c r="U54" s="154">
        <f>HLOOKUP(U$1,'Asset Returns'!$F$1:$N$109,ROW(),0)</f>
        <v>4.6198736876249313E-2</v>
      </c>
      <c r="V54" s="273" t="e">
        <f>IF(IF(Equity!$J$10="no",AA54,AF54)=0,NA(),IF(Equity!$J$10="no",AA54,AF54))</f>
        <v>#N/A</v>
      </c>
      <c r="W54" s="273" t="e">
        <f>IF(IF(Equity!$J$10="no",AB54,AG54)=0,NA(),IF(Equity!$J$10="no",AB54,AG54))</f>
        <v>#N/A</v>
      </c>
      <c r="X54" s="273" t="e">
        <f>IF(IF(Equity!$J$10="no",AC54,AH54)=0,NA(),IF(Equity!$J$10="no",AC54,AH54))</f>
        <v>#N/A</v>
      </c>
      <c r="Y54" s="273" t="e">
        <f>IF(IF(Equity!$J$10="no",AD54,AI54)=0,NA(),IF(Equity!$J$10="no",AD54,AI54))</f>
        <v>#N/A</v>
      </c>
      <c r="Z54" s="273" t="e">
        <f>IF(IF(Equity!$J$10="no",AE54,AJ54)=0,NA(),IF(Equity!$J$10="no",AE54,AJ54))</f>
        <v>#N/A</v>
      </c>
      <c r="AA54" s="274">
        <f ca="1">Equity!$R$34</f>
        <v>0.64097224418739052</v>
      </c>
      <c r="AB54" s="274">
        <f ca="1">Equity!$R$36</f>
        <v>-0.78557102570241866</v>
      </c>
      <c r="AC54" s="274">
        <f ca="1">Equity!$R$38</f>
        <v>0.9378377404978776</v>
      </c>
      <c r="AD54" s="274">
        <f ca="1">Equity!$R$40</f>
        <v>0.17519882647973573</v>
      </c>
      <c r="AE54" s="274">
        <f ca="1">Equity!$R$42</f>
        <v>7.3760094442444454E-2</v>
      </c>
      <c r="AF54" s="274"/>
      <c r="AG54" s="274"/>
      <c r="AH54" s="274"/>
      <c r="AI54" s="274"/>
      <c r="AJ54" s="274"/>
      <c r="AK54" s="274"/>
      <c r="AL54" s="421">
        <v>41790</v>
      </c>
      <c r="AM54" s="154">
        <f>HLOOKUP(AM$1,'Asset Returns'!$F$1:$ZS$109,ROW(),0)</f>
        <v>2.023812623442911E-2</v>
      </c>
      <c r="AN54" s="154">
        <f>HLOOKUP(AN$1,'Asset Returns'!$F$1:$ZS$109,ROW(),0)</f>
        <v>2.1723782386314561E-2</v>
      </c>
      <c r="AO54" s="273">
        <f ca="1">IF(IF(Bonds!$J$10="no",AQ54,AS54)=0,NA(),IF(Bonds!$J$10="no",AQ54,AS54))</f>
        <v>-0.12498736259259137</v>
      </c>
      <c r="AP54" s="273">
        <f ca="1">IF(IF(Bonds!$J$10="no",AR54,AT54)=0,NA(),IF(Bonds!$J$10="no",AR54,AT54))</f>
        <v>0.19970923689173462</v>
      </c>
      <c r="AQ54" s="273">
        <f ca="1">Bonds!$P$32</f>
        <v>-0.12498736259259137</v>
      </c>
      <c r="AR54" s="273">
        <f ca="1">Bonds!$P$34</f>
        <v>0.19970923689173462</v>
      </c>
      <c r="AS54" s="274"/>
      <c r="AT54" s="274"/>
      <c r="AU54" s="274"/>
      <c r="AV54" s="421">
        <v>41790</v>
      </c>
      <c r="AW54" s="154">
        <f>HLOOKUP(AW$1,'Asset Returns'!$F$1:$ZS$109,ROW(),0)</f>
        <v>-4.8855000000000003E-2</v>
      </c>
      <c r="AX54" s="154">
        <f>HLOOKUP(AX$1,'Asset Returns'!$F$1:$ZS$109,ROW(),0)</f>
        <v>1.9994000000000001E-2</v>
      </c>
      <c r="AY54" s="154">
        <f>HLOOKUP(AY$1,'Asset Returns'!$F$1:$ZS$109,ROW(),0)</f>
        <v>1.670189E-2</v>
      </c>
      <c r="AZ54" s="154">
        <f>HLOOKUP(AZ$1,'Asset Returns'!$F$1:$ZS$109,ROW(),0)</f>
        <v>1.9374590000000001E-2</v>
      </c>
      <c r="BA54" s="154">
        <f>HLOOKUP(BA$1,'Asset Returns'!$F$1:$ZS$109,ROW(),0)</f>
        <v>-3.0794499999999999E-2</v>
      </c>
      <c r="BB54" s="273" t="e">
        <f>IF(IF(Funds!$J$10="no",BG54,BL54)=0,NA(),IF(Funds!$J$10="no",BG54,BL54))</f>
        <v>#N/A</v>
      </c>
      <c r="BC54" s="273" t="e">
        <f>IF(IF(Funds!$J$10="no",BH54,BM54)=0,NA(),IF(Funds!$J$10="no",BH54,BM54))</f>
        <v>#N/A</v>
      </c>
      <c r="BD54" s="273" t="e">
        <f>IF(IF(Funds!$J$10="no",BI54,BN54)=0,NA(),IF(Funds!$J$10="no",BI54,BN54))</f>
        <v>#N/A</v>
      </c>
      <c r="BE54" s="273" t="e">
        <f>IF(IF(Funds!$J$10="no",BJ54,BO54)=0,NA(),IF(Funds!$J$10="no",BJ54,BO54))</f>
        <v>#N/A</v>
      </c>
      <c r="BF54" s="273" t="e">
        <f>IF(IF(Funds!$J$10="no",BK54,BP54)=0,NA(),IF(Funds!$J$10="no",BK54,BP54))</f>
        <v>#N/A</v>
      </c>
      <c r="BG54" s="274">
        <f ca="1">Funds!$R$34</f>
        <v>2.5919346055080732</v>
      </c>
      <c r="BH54" s="274">
        <f ca="1">Funds!$R$36</f>
        <v>1.3378677483181089E-2</v>
      </c>
      <c r="BI54" s="274">
        <f ca="1">Funds!$R$38</f>
        <v>-0.15972963753204919</v>
      </c>
      <c r="BJ54" s="274">
        <f ca="1">Funds!$R$40</f>
        <v>-0.16887551350866659</v>
      </c>
      <c r="BK54" s="274">
        <f ca="1">Funds!$R$42</f>
        <v>-1.9222891726906419</v>
      </c>
      <c r="BL54" s="274"/>
      <c r="BM54" s="274"/>
      <c r="BN54" s="274"/>
      <c r="BO54" s="274"/>
      <c r="BP54" s="274"/>
      <c r="BR54" s="154" t="s">
        <v>82</v>
      </c>
      <c r="BS54" s="158">
        <v>0.11474719999999999</v>
      </c>
      <c r="BT54" s="154"/>
      <c r="BU54" s="154"/>
      <c r="BX54" s="154"/>
      <c r="BZ54" s="154"/>
      <c r="CA54" s="154"/>
      <c r="CB54" s="154"/>
      <c r="CE54" s="154"/>
      <c r="CG54" s="218"/>
      <c r="CH54" s="154" t="s">
        <v>79</v>
      </c>
      <c r="CI54" s="158">
        <v>-5.5140000000000002E-2</v>
      </c>
      <c r="CJ54" s="153" t="str">
        <f t="shared" si="16"/>
        <v>Nigeria</v>
      </c>
      <c r="CK54" s="153" t="s">
        <v>80</v>
      </c>
      <c r="CL54" s="158">
        <v>-0.65324839999999995</v>
      </c>
      <c r="CM54" s="153" t="str">
        <f t="shared" si="17"/>
        <v>Netherlands</v>
      </c>
      <c r="CN54" s="154"/>
      <c r="CO54" s="209" t="s">
        <v>91</v>
      </c>
      <c r="CP54" s="157">
        <v>-0.48324709999999998</v>
      </c>
      <c r="CQ54" s="210"/>
      <c r="CR54" s="209" t="s">
        <v>89</v>
      </c>
      <c r="CS54" s="158">
        <v>-0.63952679999999995</v>
      </c>
      <c r="CT54" s="154"/>
    </row>
    <row r="55" spans="6:98">
      <c r="F55" s="421">
        <v>41820</v>
      </c>
      <c r="G55" s="272">
        <f>BMG!F55</f>
        <v>2.06847E-2</v>
      </c>
      <c r="H55" s="272" t="e">
        <f>IF('Carbon Risk Factor BMG'!$G$10="yes",AVERAGE(AC!$G19:$G54),NA())</f>
        <v>#N/A</v>
      </c>
      <c r="I55" s="272" t="e">
        <f>IF('Carbon Risk Factor BMG'!$G$11="yes",MIN(AC!$G19:$G54),NA())</f>
        <v>#N/A</v>
      </c>
      <c r="J55" s="272" t="e">
        <f>IF('Carbon Risk Factor BMG'!$G$12="yes",MAX(AC!$G19:$G54),NA())</f>
        <v>#N/A</v>
      </c>
      <c r="K55" s="272" t="e">
        <f>IF('Carbon Risk Factor BMG'!$G$13="yes",_xlfn.STDEV.S(AC!$G19:$G54),NA())</f>
        <v>#N/A</v>
      </c>
      <c r="L55" s="272" t="e">
        <f>IF('Carbon Risk Factor BMG'!$G$14="yes",_xlfn.PERCENTILE.INC(AC!$G19:$G54,'Carbon Risk Factor BMG'!$H$14),NA())</f>
        <v>#N/A</v>
      </c>
      <c r="M55" s="272" t="e">
        <f>IF('Carbon Risk Factor BMG'!$G$15="yes",_xlfn.PERCENTILE.INC(AC!$G19:$G54,'Carbon Risk Factor BMG'!$H$15),NA())</f>
        <v>#N/A</v>
      </c>
      <c r="N55" s="272">
        <f t="shared" si="25"/>
        <v>-9.1921135096294293E-2</v>
      </c>
      <c r="O55" s="272"/>
      <c r="P55" s="421">
        <v>41820</v>
      </c>
      <c r="Q55" s="154">
        <f>HLOOKUP(Q$1,'Asset Returns'!$F$1:$N$109,ROW(),0)</f>
        <v>2.0923832431435585E-2</v>
      </c>
      <c r="R55" s="154">
        <f>HLOOKUP(R$1,'Asset Returns'!$F$1:$N$109,ROW(),0)</f>
        <v>6.0651939362287521E-2</v>
      </c>
      <c r="S55" s="154">
        <f>HLOOKUP(S$1,'Asset Returns'!$F$1:$N$109,ROW(),0)</f>
        <v>4.3488860130310059E-2</v>
      </c>
      <c r="T55" s="154">
        <f>HLOOKUP(T$1,'Asset Returns'!$F$1:$N$109,ROW(),0)</f>
        <v>-1.6760682687163353E-2</v>
      </c>
      <c r="U55" s="154">
        <f>HLOOKUP(U$1,'Asset Returns'!$F$1:$N$109,ROW(),0)</f>
        <v>0.12116517126560211</v>
      </c>
      <c r="V55" s="273" t="e">
        <f>IF(IF(Equity!$J$10="no",AA55,AF55)=0,NA(),IF(Equity!$J$10="no",AA55,AF55))</f>
        <v>#N/A</v>
      </c>
      <c r="W55" s="273" t="e">
        <f>IF(IF(Equity!$J$10="no",AB55,AG55)=0,NA(),IF(Equity!$J$10="no",AB55,AG55))</f>
        <v>#N/A</v>
      </c>
      <c r="X55" s="273" t="e">
        <f>IF(IF(Equity!$J$10="no",AC55,AH55)=0,NA(),IF(Equity!$J$10="no",AC55,AH55))</f>
        <v>#N/A</v>
      </c>
      <c r="Y55" s="273" t="e">
        <f>IF(IF(Equity!$J$10="no",AD55,AI55)=0,NA(),IF(Equity!$J$10="no",AD55,AI55))</f>
        <v>#N/A</v>
      </c>
      <c r="Z55" s="273" t="e">
        <f>IF(IF(Equity!$J$10="no",AE55,AJ55)=0,NA(),IF(Equity!$J$10="no",AE55,AJ55))</f>
        <v>#N/A</v>
      </c>
      <c r="AA55" s="274">
        <f ca="1">Equity!$R$34</f>
        <v>0.64097224418739052</v>
      </c>
      <c r="AB55" s="274">
        <f ca="1">Equity!$R$36</f>
        <v>-0.78557102570241866</v>
      </c>
      <c r="AC55" s="274">
        <f ca="1">Equity!$R$38</f>
        <v>0.9378377404978776</v>
      </c>
      <c r="AD55" s="274">
        <f ca="1">Equity!$R$40</f>
        <v>0.17519882647973573</v>
      </c>
      <c r="AE55" s="274">
        <f ca="1">Equity!$R$42</f>
        <v>7.3760094442444454E-2</v>
      </c>
      <c r="AF55" s="274"/>
      <c r="AG55" s="274"/>
      <c r="AH55" s="274"/>
      <c r="AI55" s="274"/>
      <c r="AJ55" s="274"/>
      <c r="AK55" s="274"/>
      <c r="AL55" s="421">
        <v>41820</v>
      </c>
      <c r="AM55" s="154">
        <f>HLOOKUP(AM$1,'Asset Returns'!$F$1:$ZS$109,ROW(),0)</f>
        <v>-1.487476758175732E-3</v>
      </c>
      <c r="AN55" s="154">
        <f>HLOOKUP(AN$1,'Asset Returns'!$F$1:$ZS$109,ROW(),0)</f>
        <v>-9.9971166943397805E-3</v>
      </c>
      <c r="AO55" s="273">
        <f ca="1">IF(IF(Bonds!$J$10="no",AQ55,AS55)=0,NA(),IF(Bonds!$J$10="no",AQ55,AS55))</f>
        <v>-0.12498736259259137</v>
      </c>
      <c r="AP55" s="273">
        <f ca="1">IF(IF(Bonds!$J$10="no",AR55,AT55)=0,NA(),IF(Bonds!$J$10="no",AR55,AT55))</f>
        <v>0.19970923689173462</v>
      </c>
      <c r="AQ55" s="273">
        <f ca="1">Bonds!$P$32</f>
        <v>-0.12498736259259137</v>
      </c>
      <c r="AR55" s="273">
        <f ca="1">Bonds!$P$34</f>
        <v>0.19970923689173462</v>
      </c>
      <c r="AS55" s="274"/>
      <c r="AT55" s="274"/>
      <c r="AU55" s="274"/>
      <c r="AV55" s="421">
        <v>41820</v>
      </c>
      <c r="AW55" s="154">
        <f>HLOOKUP(AW$1,'Asset Returns'!$F$1:$ZS$109,ROW(),0)</f>
        <v>0.1845907</v>
      </c>
      <c r="AX55" s="154">
        <f>HLOOKUP(AX$1,'Asset Returns'!$F$1:$ZS$109,ROW(),0)</f>
        <v>1.7592699999999999E-2</v>
      </c>
      <c r="AY55" s="154">
        <f>HLOOKUP(AY$1,'Asset Returns'!$F$1:$ZS$109,ROW(),0)</f>
        <v>-2.8311999999999999E-3</v>
      </c>
      <c r="AZ55" s="154">
        <f>HLOOKUP(AZ$1,'Asset Returns'!$F$1:$ZS$109,ROW(),0)</f>
        <v>1.1443499999999999E-3</v>
      </c>
      <c r="BA55" s="154">
        <f>HLOOKUP(BA$1,'Asset Returns'!$F$1:$ZS$109,ROW(),0)</f>
        <v>-0.10113989999999999</v>
      </c>
      <c r="BB55" s="273" t="e">
        <f>IF(IF(Funds!$J$10="no",BG55,BL55)=0,NA(),IF(Funds!$J$10="no",BG55,BL55))</f>
        <v>#N/A</v>
      </c>
      <c r="BC55" s="273" t="e">
        <f>IF(IF(Funds!$J$10="no",BH55,BM55)=0,NA(),IF(Funds!$J$10="no",BH55,BM55))</f>
        <v>#N/A</v>
      </c>
      <c r="BD55" s="273" t="e">
        <f>IF(IF(Funds!$J$10="no",BI55,BN55)=0,NA(),IF(Funds!$J$10="no",BI55,BN55))</f>
        <v>#N/A</v>
      </c>
      <c r="BE55" s="273" t="e">
        <f>IF(IF(Funds!$J$10="no",BJ55,BO55)=0,NA(),IF(Funds!$J$10="no",BJ55,BO55))</f>
        <v>#N/A</v>
      </c>
      <c r="BF55" s="273" t="e">
        <f>IF(IF(Funds!$J$10="no",BK55,BP55)=0,NA(),IF(Funds!$J$10="no",BK55,BP55))</f>
        <v>#N/A</v>
      </c>
      <c r="BG55" s="274">
        <f ca="1">Funds!$R$34</f>
        <v>2.5919346055080732</v>
      </c>
      <c r="BH55" s="274">
        <f ca="1">Funds!$R$36</f>
        <v>1.3378677483181089E-2</v>
      </c>
      <c r="BI55" s="274">
        <f ca="1">Funds!$R$38</f>
        <v>-0.15972963753204919</v>
      </c>
      <c r="BJ55" s="274">
        <f ca="1">Funds!$R$40</f>
        <v>-0.16887551350866659</v>
      </c>
      <c r="BK55" s="274">
        <f ca="1">Funds!$R$42</f>
        <v>-1.9222891726906419</v>
      </c>
      <c r="BL55" s="274"/>
      <c r="BM55" s="274"/>
      <c r="BN55" s="274"/>
      <c r="BO55" s="274"/>
      <c r="BP55" s="274"/>
      <c r="BR55" s="154" t="s">
        <v>83</v>
      </c>
      <c r="BS55" s="158">
        <v>-1.8022799999999999E-2</v>
      </c>
      <c r="BT55" s="154"/>
      <c r="BU55" s="154"/>
      <c r="BX55" s="154"/>
      <c r="BZ55" s="154"/>
      <c r="CA55" s="154"/>
      <c r="CB55" s="154"/>
      <c r="CE55" s="154"/>
      <c r="CG55" s="218"/>
      <c r="CH55" s="154" t="s">
        <v>81</v>
      </c>
      <c r="CI55" s="158">
        <v>-0.17636589999999999</v>
      </c>
      <c r="CJ55" s="153" t="str">
        <f t="shared" si="16"/>
        <v>Norway</v>
      </c>
      <c r="CK55" s="153" t="s">
        <v>82</v>
      </c>
      <c r="CL55" s="158">
        <v>0.11114789999999999</v>
      </c>
      <c r="CM55" s="153" t="str">
        <f t="shared" si="17"/>
        <v>New Zealand</v>
      </c>
      <c r="CN55" s="154"/>
      <c r="CO55" s="209" t="s">
        <v>93</v>
      </c>
      <c r="CP55" s="157">
        <v>0.33232430000000002</v>
      </c>
      <c r="CQ55" s="210"/>
      <c r="CR55" s="209" t="s">
        <v>90</v>
      </c>
      <c r="CS55" s="158">
        <v>-2.23871E-2</v>
      </c>
      <c r="CT55" s="154"/>
    </row>
    <row r="56" spans="6:98">
      <c r="F56" s="421">
        <v>41851</v>
      </c>
      <c r="G56" s="272">
        <f>BMG!F56</f>
        <v>2.2947000000000002E-3</v>
      </c>
      <c r="H56" s="272" t="e">
        <f>IF('Carbon Risk Factor BMG'!$G$10="yes",AVERAGE(AC!$G20:$G55),NA())</f>
        <v>#N/A</v>
      </c>
      <c r="I56" s="272" t="e">
        <f>IF('Carbon Risk Factor BMG'!$G$11="yes",MIN(AC!$G20:$G55),NA())</f>
        <v>#N/A</v>
      </c>
      <c r="J56" s="272" t="e">
        <f>IF('Carbon Risk Factor BMG'!$G$12="yes",MAX(AC!$G20:$G55),NA())</f>
        <v>#N/A</v>
      </c>
      <c r="K56" s="272" t="e">
        <f>IF('Carbon Risk Factor BMG'!$G$13="yes",_xlfn.STDEV.S(AC!$G20:$G55),NA())</f>
        <v>#N/A</v>
      </c>
      <c r="L56" s="272" t="e">
        <f>IF('Carbon Risk Factor BMG'!$G$14="yes",_xlfn.PERCENTILE.INC(AC!$G20:$G55,'Carbon Risk Factor BMG'!$H$14),NA())</f>
        <v>#N/A</v>
      </c>
      <c r="M56" s="272" t="e">
        <f>IF('Carbon Risk Factor BMG'!$G$15="yes",_xlfn.PERCENTILE.INC(AC!$G20:$G55,'Carbon Risk Factor BMG'!$H$15),NA())</f>
        <v>#N/A</v>
      </c>
      <c r="N56" s="272">
        <f t="shared" si="25"/>
        <v>-8.983736652499974E-2</v>
      </c>
      <c r="O56" s="272"/>
      <c r="P56" s="421">
        <v>41851</v>
      </c>
      <c r="Q56" s="154">
        <f>HLOOKUP(Q$1,'Asset Returns'!$F$1:$N$109,ROW(),0)</f>
        <v>3.3863451331853867E-2</v>
      </c>
      <c r="R56" s="154">
        <f>HLOOKUP(R$1,'Asset Returns'!$F$1:$N$109,ROW(),0)</f>
        <v>-6.2950537540018559E-3</v>
      </c>
      <c r="S56" s="154">
        <f>HLOOKUP(S$1,'Asset Returns'!$F$1:$N$109,ROW(),0)</f>
        <v>-7.1850575506687164E-2</v>
      </c>
      <c r="T56" s="154">
        <f>HLOOKUP(T$1,'Asset Returns'!$F$1:$N$109,ROW(),0)</f>
        <v>5.7372972369194031E-2</v>
      </c>
      <c r="U56" s="154">
        <f>HLOOKUP(U$1,'Asset Returns'!$F$1:$N$109,ROW(),0)</f>
        <v>-4.2980927973985672E-2</v>
      </c>
      <c r="V56" s="273" t="e">
        <f>IF(IF(Equity!$J$10="no",AA56,AF56)=0,NA(),IF(Equity!$J$10="no",AA56,AF56))</f>
        <v>#N/A</v>
      </c>
      <c r="W56" s="273" t="e">
        <f>IF(IF(Equity!$J$10="no",AB56,AG56)=0,NA(),IF(Equity!$J$10="no",AB56,AG56))</f>
        <v>#N/A</v>
      </c>
      <c r="X56" s="273" t="e">
        <f>IF(IF(Equity!$J$10="no",AC56,AH56)=0,NA(),IF(Equity!$J$10="no",AC56,AH56))</f>
        <v>#N/A</v>
      </c>
      <c r="Y56" s="273" t="e">
        <f>IF(IF(Equity!$J$10="no",AD56,AI56)=0,NA(),IF(Equity!$J$10="no",AD56,AI56))</f>
        <v>#N/A</v>
      </c>
      <c r="Z56" s="273" t="e">
        <f>IF(IF(Equity!$J$10="no",AE56,AJ56)=0,NA(),IF(Equity!$J$10="no",AE56,AJ56))</f>
        <v>#N/A</v>
      </c>
      <c r="AA56" s="274">
        <f ca="1">Equity!$R$34</f>
        <v>0.64097224418739052</v>
      </c>
      <c r="AB56" s="274">
        <f ca="1">Equity!$R$36</f>
        <v>-0.78557102570241866</v>
      </c>
      <c r="AC56" s="274">
        <f ca="1">Equity!$R$38</f>
        <v>0.9378377404978776</v>
      </c>
      <c r="AD56" s="274">
        <f ca="1">Equity!$R$40</f>
        <v>0.17519882647973573</v>
      </c>
      <c r="AE56" s="274">
        <f ca="1">Equity!$R$42</f>
        <v>7.3760094442444454E-2</v>
      </c>
      <c r="AF56" s="274"/>
      <c r="AG56" s="274"/>
      <c r="AH56" s="274"/>
      <c r="AI56" s="274"/>
      <c r="AJ56" s="274"/>
      <c r="AK56" s="274"/>
      <c r="AL56" s="421">
        <v>41851</v>
      </c>
      <c r="AM56" s="154">
        <f>HLOOKUP(AM$1,'Asset Returns'!$F$1:$ZS$109,ROW(),0)</f>
        <v>3.8228142046574654E-3</v>
      </c>
      <c r="AN56" s="154">
        <f>HLOOKUP(AN$1,'Asset Returns'!$F$1:$ZS$109,ROW(),0)</f>
        <v>9.5457124636575408E-3</v>
      </c>
      <c r="AO56" s="273">
        <f ca="1">IF(IF(Bonds!$J$10="no",AQ56,AS56)=0,NA(),IF(Bonds!$J$10="no",AQ56,AS56))</f>
        <v>-0.12498736259259137</v>
      </c>
      <c r="AP56" s="273">
        <f ca="1">IF(IF(Bonds!$J$10="no",AR56,AT56)=0,NA(),IF(Bonds!$J$10="no",AR56,AT56))</f>
        <v>0.19970923689173462</v>
      </c>
      <c r="AQ56" s="273">
        <f ca="1">Bonds!$P$32</f>
        <v>-0.12498736259259137</v>
      </c>
      <c r="AR56" s="273">
        <f ca="1">Bonds!$P$34</f>
        <v>0.19970923689173462</v>
      </c>
      <c r="AS56" s="274"/>
      <c r="AT56" s="274"/>
      <c r="AU56" s="274"/>
      <c r="AV56" s="421">
        <v>41851</v>
      </c>
      <c r="AW56" s="154">
        <f>HLOOKUP(AW$1,'Asset Returns'!$F$1:$ZS$109,ROW(),0)</f>
        <v>-4.2005399999999998E-2</v>
      </c>
      <c r="AX56" s="154">
        <f>HLOOKUP(AX$1,'Asset Returns'!$F$1:$ZS$109,ROW(),0)</f>
        <v>-1.6139000000000001E-2</v>
      </c>
      <c r="AY56" s="154">
        <f>HLOOKUP(AY$1,'Asset Returns'!$F$1:$ZS$109,ROW(),0)</f>
        <v>-1.68957E-2</v>
      </c>
      <c r="AZ56" s="154">
        <f>HLOOKUP(AZ$1,'Asset Returns'!$F$1:$ZS$109,ROW(),0)</f>
        <v>-3.2297220000000001E-2</v>
      </c>
      <c r="BA56" s="154">
        <f>HLOOKUP(BA$1,'Asset Returns'!$F$1:$ZS$109,ROW(),0)</f>
        <v>6.8267700000000001E-2</v>
      </c>
      <c r="BB56" s="273" t="e">
        <f>IF(IF(Funds!$J$10="no",BG56,BL56)=0,NA(),IF(Funds!$J$10="no",BG56,BL56))</f>
        <v>#N/A</v>
      </c>
      <c r="BC56" s="273" t="e">
        <f>IF(IF(Funds!$J$10="no",BH56,BM56)=0,NA(),IF(Funds!$J$10="no",BH56,BM56))</f>
        <v>#N/A</v>
      </c>
      <c r="BD56" s="273" t="e">
        <f>IF(IF(Funds!$J$10="no",BI56,BN56)=0,NA(),IF(Funds!$J$10="no",BI56,BN56))</f>
        <v>#N/A</v>
      </c>
      <c r="BE56" s="273" t="e">
        <f>IF(IF(Funds!$J$10="no",BJ56,BO56)=0,NA(),IF(Funds!$J$10="no",BJ56,BO56))</f>
        <v>#N/A</v>
      </c>
      <c r="BF56" s="273" t="e">
        <f>IF(IF(Funds!$J$10="no",BK56,BP56)=0,NA(),IF(Funds!$J$10="no",BK56,BP56))</f>
        <v>#N/A</v>
      </c>
      <c r="BG56" s="274">
        <f ca="1">Funds!$R$34</f>
        <v>2.5919346055080732</v>
      </c>
      <c r="BH56" s="274">
        <f ca="1">Funds!$R$36</f>
        <v>1.3378677483181089E-2</v>
      </c>
      <c r="BI56" s="274">
        <f ca="1">Funds!$R$38</f>
        <v>-0.15972963753204919</v>
      </c>
      <c r="BJ56" s="274">
        <f ca="1">Funds!$R$40</f>
        <v>-0.16887551350866659</v>
      </c>
      <c r="BK56" s="274">
        <f ca="1">Funds!$R$42</f>
        <v>-1.9222891726906419</v>
      </c>
      <c r="BL56" s="274"/>
      <c r="BM56" s="274"/>
      <c r="BN56" s="274"/>
      <c r="BO56" s="274"/>
      <c r="BP56" s="274"/>
      <c r="BR56" s="154" t="s">
        <v>84</v>
      </c>
      <c r="BS56" s="158">
        <v>0.1379003</v>
      </c>
      <c r="BT56" s="154"/>
      <c r="BU56" s="154"/>
      <c r="BX56" s="154"/>
      <c r="BZ56" s="154"/>
      <c r="CA56" s="154"/>
      <c r="CB56" s="154"/>
      <c r="CE56" s="154"/>
      <c r="CG56" s="218"/>
      <c r="CH56" s="154" t="s">
        <v>83</v>
      </c>
      <c r="CI56" s="158">
        <v>-4.734E-2</v>
      </c>
      <c r="CJ56" s="153" t="str">
        <f t="shared" si="16"/>
        <v>Oman</v>
      </c>
      <c r="CK56" s="153" t="s">
        <v>79</v>
      </c>
      <c r="CL56" s="158">
        <v>-3.6589999999999998E-2</v>
      </c>
      <c r="CM56" s="153" t="str">
        <f t="shared" si="17"/>
        <v>Nigeria</v>
      </c>
      <c r="CN56" s="154"/>
      <c r="CO56" s="209" t="s">
        <v>94</v>
      </c>
      <c r="CP56" s="157">
        <v>0.1660692</v>
      </c>
      <c r="CQ56" s="210"/>
      <c r="CR56" s="209" t="s">
        <v>91</v>
      </c>
      <c r="CS56" s="158">
        <v>-0.56010490000000002</v>
      </c>
      <c r="CT56" s="154"/>
    </row>
    <row r="57" spans="6:98">
      <c r="F57" s="421">
        <v>41882</v>
      </c>
      <c r="G57" s="272">
        <f>BMG!F57</f>
        <v>1.5625000000000001E-3</v>
      </c>
      <c r="H57" s="272" t="e">
        <f>IF('Carbon Risk Factor BMG'!$G$10="yes",AVERAGE(AC!$G21:$G56),NA())</f>
        <v>#N/A</v>
      </c>
      <c r="I57" s="272" t="e">
        <f>IF('Carbon Risk Factor BMG'!$G$11="yes",MIN(AC!$G21:$G56),NA())</f>
        <v>#N/A</v>
      </c>
      <c r="J57" s="272" t="e">
        <f>IF('Carbon Risk Factor BMG'!$G$12="yes",MAX(AC!$G21:$G56),NA())</f>
        <v>#N/A</v>
      </c>
      <c r="K57" s="272" t="e">
        <f>IF('Carbon Risk Factor BMG'!$G$13="yes",_xlfn.STDEV.S(AC!$G21:$G56),NA())</f>
        <v>#N/A</v>
      </c>
      <c r="L57" s="272" t="e">
        <f>IF('Carbon Risk Factor BMG'!$G$14="yes",_xlfn.PERCENTILE.INC(AC!$G21:$G56,'Carbon Risk Factor BMG'!$H$14),NA())</f>
        <v>#N/A</v>
      </c>
      <c r="M57" s="272" t="e">
        <f>IF('Carbon Risk Factor BMG'!$G$15="yes",_xlfn.PERCENTILE.INC(AC!$G21:$G56,'Carbon Risk Factor BMG'!$H$15),NA())</f>
        <v>#N/A</v>
      </c>
      <c r="N57" s="272">
        <f t="shared" si="25"/>
        <v>-8.841523741019508E-2</v>
      </c>
      <c r="O57" s="272"/>
      <c r="P57" s="421">
        <v>41882</v>
      </c>
      <c r="Q57" s="154">
        <f>HLOOKUP(Q$1,'Asset Returns'!$F$1:$N$109,ROW(),0)</f>
        <v>0.1722152978181839</v>
      </c>
      <c r="R57" s="154">
        <f>HLOOKUP(R$1,'Asset Returns'!$F$1:$N$109,ROW(),0)</f>
        <v>-4.3822601437568665E-2</v>
      </c>
      <c r="S57" s="154">
        <f>HLOOKUP(S$1,'Asset Returns'!$F$1:$N$109,ROW(),0)</f>
        <v>-8.786344900727272E-3</v>
      </c>
      <c r="T57" s="154">
        <f>HLOOKUP(T$1,'Asset Returns'!$F$1:$N$109,ROW(),0)</f>
        <v>9.2212790623307228E-3</v>
      </c>
      <c r="U57" s="154">
        <f>HLOOKUP(U$1,'Asset Returns'!$F$1:$N$109,ROW(),0)</f>
        <v>3.8268648087978363E-2</v>
      </c>
      <c r="V57" s="273" t="e">
        <f>IF(IF(Equity!$J$10="no",AA57,AF57)=0,NA(),IF(Equity!$J$10="no",AA57,AF57))</f>
        <v>#N/A</v>
      </c>
      <c r="W57" s="273" t="e">
        <f>IF(IF(Equity!$J$10="no",AB57,AG57)=0,NA(),IF(Equity!$J$10="no",AB57,AG57))</f>
        <v>#N/A</v>
      </c>
      <c r="X57" s="273" t="e">
        <f>IF(IF(Equity!$J$10="no",AC57,AH57)=0,NA(),IF(Equity!$J$10="no",AC57,AH57))</f>
        <v>#N/A</v>
      </c>
      <c r="Y57" s="273" t="e">
        <f>IF(IF(Equity!$J$10="no",AD57,AI57)=0,NA(),IF(Equity!$J$10="no",AD57,AI57))</f>
        <v>#N/A</v>
      </c>
      <c r="Z57" s="273" t="e">
        <f>IF(IF(Equity!$J$10="no",AE57,AJ57)=0,NA(),IF(Equity!$J$10="no",AE57,AJ57))</f>
        <v>#N/A</v>
      </c>
      <c r="AA57" s="274">
        <f ca="1">Equity!$R$34</f>
        <v>0.64097224418739052</v>
      </c>
      <c r="AB57" s="274">
        <f ca="1">Equity!$R$36</f>
        <v>-0.78557102570241866</v>
      </c>
      <c r="AC57" s="274">
        <f ca="1">Equity!$R$38</f>
        <v>0.9378377404978776</v>
      </c>
      <c r="AD57" s="274">
        <f ca="1">Equity!$R$40</f>
        <v>0.17519882647973573</v>
      </c>
      <c r="AE57" s="274">
        <f ca="1">Equity!$R$42</f>
        <v>7.3760094442444454E-2</v>
      </c>
      <c r="AF57" s="274"/>
      <c r="AG57" s="274"/>
      <c r="AH57" s="274"/>
      <c r="AI57" s="274"/>
      <c r="AJ57" s="274"/>
      <c r="AK57" s="274"/>
      <c r="AL57" s="421">
        <v>41882</v>
      </c>
      <c r="AM57" s="154">
        <f>HLOOKUP(AM$1,'Asset Returns'!$F$1:$ZS$109,ROW(),0)</f>
        <v>2.9854980740482207E-2</v>
      </c>
      <c r="AN57" s="154">
        <f>HLOOKUP(AN$1,'Asset Returns'!$F$1:$ZS$109,ROW(),0)</f>
        <v>3.2370379212924405E-2</v>
      </c>
      <c r="AO57" s="273">
        <f ca="1">IF(IF(Bonds!$J$10="no",AQ57,AS57)=0,NA(),IF(Bonds!$J$10="no",AQ57,AS57))</f>
        <v>-0.12498736259259137</v>
      </c>
      <c r="AP57" s="273">
        <f ca="1">IF(IF(Bonds!$J$10="no",AR57,AT57)=0,NA(),IF(Bonds!$J$10="no",AR57,AT57))</f>
        <v>0.19970923689173462</v>
      </c>
      <c r="AQ57" s="273">
        <f ca="1">Bonds!$P$32</f>
        <v>-0.12498736259259137</v>
      </c>
      <c r="AR57" s="273">
        <f ca="1">Bonds!$P$34</f>
        <v>0.19970923689173462</v>
      </c>
      <c r="AS57" s="274"/>
      <c r="AT57" s="274"/>
      <c r="AU57" s="274"/>
      <c r="AV57" s="421">
        <v>41882</v>
      </c>
      <c r="AW57" s="154">
        <f>HLOOKUP(AW$1,'Asset Returns'!$F$1:$ZS$109,ROW(),0)</f>
        <v>-1.13154E-2</v>
      </c>
      <c r="AX57" s="154">
        <f>HLOOKUP(AX$1,'Asset Returns'!$F$1:$ZS$109,ROW(),0)</f>
        <v>2.14909E-2</v>
      </c>
      <c r="AY57" s="154">
        <f>HLOOKUP(AY$1,'Asset Returns'!$F$1:$ZS$109,ROW(),0)</f>
        <v>-1.4654789999999999E-2</v>
      </c>
      <c r="AZ57" s="154">
        <f>HLOOKUP(AZ$1,'Asset Returns'!$F$1:$ZS$109,ROW(),0)</f>
        <v>2.0217849999999999E-2</v>
      </c>
      <c r="BA57" s="154">
        <f>HLOOKUP(BA$1,'Asset Returns'!$F$1:$ZS$109,ROW(),0)</f>
        <v>-5.4306599999999997E-2</v>
      </c>
      <c r="BB57" s="273" t="e">
        <f>IF(IF(Funds!$J$10="no",BG57,BL57)=0,NA(),IF(Funds!$J$10="no",BG57,BL57))</f>
        <v>#N/A</v>
      </c>
      <c r="BC57" s="273" t="e">
        <f>IF(IF(Funds!$J$10="no",BH57,BM57)=0,NA(),IF(Funds!$J$10="no",BH57,BM57))</f>
        <v>#N/A</v>
      </c>
      <c r="BD57" s="273" t="e">
        <f>IF(IF(Funds!$J$10="no",BI57,BN57)=0,NA(),IF(Funds!$J$10="no",BI57,BN57))</f>
        <v>#N/A</v>
      </c>
      <c r="BE57" s="273" t="e">
        <f>IF(IF(Funds!$J$10="no",BJ57,BO57)=0,NA(),IF(Funds!$J$10="no",BJ57,BO57))</f>
        <v>#N/A</v>
      </c>
      <c r="BF57" s="273" t="e">
        <f>IF(IF(Funds!$J$10="no",BK57,BP57)=0,NA(),IF(Funds!$J$10="no",BK57,BP57))</f>
        <v>#N/A</v>
      </c>
      <c r="BG57" s="274">
        <f ca="1">Funds!$R$34</f>
        <v>2.5919346055080732</v>
      </c>
      <c r="BH57" s="274">
        <f ca="1">Funds!$R$36</f>
        <v>1.3378677483181089E-2</v>
      </c>
      <c r="BI57" s="274">
        <f ca="1">Funds!$R$38</f>
        <v>-0.15972963753204919</v>
      </c>
      <c r="BJ57" s="274">
        <f ca="1">Funds!$R$40</f>
        <v>-0.16887551350866659</v>
      </c>
      <c r="BK57" s="274">
        <f ca="1">Funds!$R$42</f>
        <v>-1.9222891726906419</v>
      </c>
      <c r="BL57" s="274"/>
      <c r="BM57" s="274"/>
      <c r="BN57" s="274"/>
      <c r="BO57" s="274"/>
      <c r="BP57" s="274"/>
      <c r="BR57" s="154" t="s">
        <v>85</v>
      </c>
      <c r="BS57" s="158">
        <v>0.35097050000000002</v>
      </c>
      <c r="BT57" s="154"/>
      <c r="BU57" s="154"/>
      <c r="BX57" s="154"/>
      <c r="BZ57" s="154"/>
      <c r="CA57" s="154"/>
      <c r="CB57" s="154"/>
      <c r="CE57" s="154"/>
      <c r="CG57" s="218"/>
      <c r="CH57" s="154" t="s">
        <v>87</v>
      </c>
      <c r="CI57" s="158">
        <v>5.6222399999999999E-2</v>
      </c>
      <c r="CJ57" s="153" t="str">
        <f t="shared" si="16"/>
        <v>Pakistan</v>
      </c>
      <c r="CK57" s="153" t="s">
        <v>81</v>
      </c>
      <c r="CL57" s="158">
        <v>-0.1993702</v>
      </c>
      <c r="CM57" s="153" t="str">
        <f t="shared" si="17"/>
        <v>Norway</v>
      </c>
      <c r="CN57" s="154"/>
      <c r="CO57" s="209" t="s">
        <v>92</v>
      </c>
      <c r="CP57" s="157">
        <v>-9.8970699999999995E-2</v>
      </c>
      <c r="CQ57" s="210"/>
      <c r="CR57" s="209" t="s">
        <v>93</v>
      </c>
      <c r="CS57" s="158">
        <v>0.327903</v>
      </c>
      <c r="CT57" s="154"/>
    </row>
    <row r="58" spans="6:98">
      <c r="F58" s="421">
        <v>41912</v>
      </c>
      <c r="G58" s="272">
        <f>BMG!F58</f>
        <v>-3.9822499999999997E-2</v>
      </c>
      <c r="H58" s="272" t="e">
        <f>IF('Carbon Risk Factor BMG'!$G$10="yes",AVERAGE(AC!$G22:$G57),NA())</f>
        <v>#N/A</v>
      </c>
      <c r="I58" s="272" t="e">
        <f>IF('Carbon Risk Factor BMG'!$G$11="yes",MIN(AC!$G22:$G57),NA())</f>
        <v>#N/A</v>
      </c>
      <c r="J58" s="272" t="e">
        <f>IF('Carbon Risk Factor BMG'!$G$12="yes",MAX(AC!$G22:$G57),NA())</f>
        <v>#N/A</v>
      </c>
      <c r="K58" s="272" t="e">
        <f>IF('Carbon Risk Factor BMG'!$G$13="yes",_xlfn.STDEV.S(AC!$G22:$G57),NA())</f>
        <v>#N/A</v>
      </c>
      <c r="L58" s="272" t="e">
        <f>IF('Carbon Risk Factor BMG'!$G$14="yes",_xlfn.PERCENTILE.INC(AC!$G22:$G57,'Carbon Risk Factor BMG'!$H$14),NA())</f>
        <v>#N/A</v>
      </c>
      <c r="M58" s="272" t="e">
        <f>IF('Carbon Risk Factor BMG'!$G$15="yes",_xlfn.PERCENTILE.INC(AC!$G22:$G57,'Carbon Risk Factor BMG'!$H$15),NA())</f>
        <v>#N/A</v>
      </c>
      <c r="N58" s="272">
        <f t="shared" si="25"/>
        <v>-0.12471682161842756</v>
      </c>
      <c r="O58" s="272"/>
      <c r="P58" s="421">
        <v>41912</v>
      </c>
      <c r="Q58" s="154">
        <f>HLOOKUP(Q$1,'Asset Returns'!$F$1:$N$109,ROW(),0)</f>
        <v>-6.0338854789733887E-2</v>
      </c>
      <c r="R58" s="154">
        <f>HLOOKUP(R$1,'Asset Returns'!$F$1:$N$109,ROW(),0)</f>
        <v>4.4508989900350571E-2</v>
      </c>
      <c r="S58" s="154">
        <f>HLOOKUP(S$1,'Asset Returns'!$F$1:$N$109,ROW(),0)</f>
        <v>-8.0999501049518585E-2</v>
      </c>
      <c r="T58" s="154">
        <f>HLOOKUP(T$1,'Asset Returns'!$F$1:$N$109,ROW(),0)</f>
        <v>-1.2844518758356571E-2</v>
      </c>
      <c r="U58" s="154">
        <f>HLOOKUP(U$1,'Asset Returns'!$F$1:$N$109,ROW(),0)</f>
        <v>-3.7691239267587662E-2</v>
      </c>
      <c r="V58" s="273" t="e">
        <f>IF(IF(Equity!$J$10="no",AA58,AF58)=0,NA(),IF(Equity!$J$10="no",AA58,AF58))</f>
        <v>#N/A</v>
      </c>
      <c r="W58" s="273" t="e">
        <f>IF(IF(Equity!$J$10="no",AB58,AG58)=0,NA(),IF(Equity!$J$10="no",AB58,AG58))</f>
        <v>#N/A</v>
      </c>
      <c r="X58" s="273" t="e">
        <f>IF(IF(Equity!$J$10="no",AC58,AH58)=0,NA(),IF(Equity!$J$10="no",AC58,AH58))</f>
        <v>#N/A</v>
      </c>
      <c r="Y58" s="273" t="e">
        <f>IF(IF(Equity!$J$10="no",AD58,AI58)=0,NA(),IF(Equity!$J$10="no",AD58,AI58))</f>
        <v>#N/A</v>
      </c>
      <c r="Z58" s="273" t="e">
        <f>IF(IF(Equity!$J$10="no",AE58,AJ58)=0,NA(),IF(Equity!$J$10="no",AE58,AJ58))</f>
        <v>#N/A</v>
      </c>
      <c r="AA58" s="274">
        <f ca="1">Equity!$R$34</f>
        <v>0.64097224418739052</v>
      </c>
      <c r="AB58" s="274">
        <f ca="1">Equity!$R$36</f>
        <v>-0.78557102570241866</v>
      </c>
      <c r="AC58" s="274">
        <f ca="1">Equity!$R$38</f>
        <v>0.9378377404978776</v>
      </c>
      <c r="AD58" s="274">
        <f ca="1">Equity!$R$40</f>
        <v>0.17519882647973573</v>
      </c>
      <c r="AE58" s="274">
        <f ca="1">Equity!$R$42</f>
        <v>7.3760094442444454E-2</v>
      </c>
      <c r="AF58" s="274"/>
      <c r="AG58" s="274"/>
      <c r="AH58" s="274"/>
      <c r="AI58" s="274"/>
      <c r="AJ58" s="274"/>
      <c r="AK58" s="274"/>
      <c r="AL58" s="421">
        <v>41912</v>
      </c>
      <c r="AM58" s="154">
        <f>HLOOKUP(AM$1,'Asset Returns'!$F$1:$ZS$109,ROW(),0)</f>
        <v>-1.0086989690503145E-2</v>
      </c>
      <c r="AN58" s="154">
        <f>HLOOKUP(AN$1,'Asset Returns'!$F$1:$ZS$109,ROW(),0)</f>
        <v>-1.034901424193968E-2</v>
      </c>
      <c r="AO58" s="273">
        <f ca="1">IF(IF(Bonds!$J$10="no",AQ58,AS58)=0,NA(),IF(Bonds!$J$10="no",AQ58,AS58))</f>
        <v>-0.12498736259259137</v>
      </c>
      <c r="AP58" s="273">
        <f ca="1">IF(IF(Bonds!$J$10="no",AR58,AT58)=0,NA(),IF(Bonds!$J$10="no",AR58,AT58))</f>
        <v>0.19970923689173462</v>
      </c>
      <c r="AQ58" s="273">
        <f ca="1">Bonds!$P$32</f>
        <v>-0.12498736259259137</v>
      </c>
      <c r="AR58" s="273">
        <f ca="1">Bonds!$P$34</f>
        <v>0.19970923689173462</v>
      </c>
      <c r="AS58" s="274"/>
      <c r="AT58" s="274"/>
      <c r="AU58" s="274"/>
      <c r="AV58" s="421">
        <v>41912</v>
      </c>
      <c r="AW58" s="154">
        <f>HLOOKUP(AW$1,'Asset Returns'!$F$1:$ZS$109,ROW(),0)</f>
        <v>-0.17453510000000003</v>
      </c>
      <c r="AX58" s="154">
        <f>HLOOKUP(AX$1,'Asset Returns'!$F$1:$ZS$109,ROW(),0)</f>
        <v>-2.6777799999999997E-2</v>
      </c>
      <c r="AY58" s="154">
        <f>HLOOKUP(AY$1,'Asset Returns'!$F$1:$ZS$109,ROW(),0)</f>
        <v>-3.4813839999999999E-2</v>
      </c>
      <c r="AZ58" s="154">
        <f>HLOOKUP(AZ$1,'Asset Returns'!$F$1:$ZS$109,ROW(),0)</f>
        <v>-2.1164700000000002E-2</v>
      </c>
      <c r="BA58" s="154">
        <f>HLOOKUP(BA$1,'Asset Returns'!$F$1:$ZS$109,ROW(),0)</f>
        <v>0.1666667</v>
      </c>
      <c r="BB58" s="273" t="e">
        <f>IF(IF(Funds!$J$10="no",BG58,BL58)=0,NA(),IF(Funds!$J$10="no",BG58,BL58))</f>
        <v>#N/A</v>
      </c>
      <c r="BC58" s="273" t="e">
        <f>IF(IF(Funds!$J$10="no",BH58,BM58)=0,NA(),IF(Funds!$J$10="no",BH58,BM58))</f>
        <v>#N/A</v>
      </c>
      <c r="BD58" s="273" t="e">
        <f>IF(IF(Funds!$J$10="no",BI58,BN58)=0,NA(),IF(Funds!$J$10="no",BI58,BN58))</f>
        <v>#N/A</v>
      </c>
      <c r="BE58" s="273" t="e">
        <f>IF(IF(Funds!$J$10="no",BJ58,BO58)=0,NA(),IF(Funds!$J$10="no",BJ58,BO58))</f>
        <v>#N/A</v>
      </c>
      <c r="BF58" s="273" t="e">
        <f>IF(IF(Funds!$J$10="no",BK58,BP58)=0,NA(),IF(Funds!$J$10="no",BK58,BP58))</f>
        <v>#N/A</v>
      </c>
      <c r="BG58" s="274">
        <f ca="1">Funds!$R$34</f>
        <v>2.5919346055080732</v>
      </c>
      <c r="BH58" s="274">
        <f ca="1">Funds!$R$36</f>
        <v>1.3378677483181089E-2</v>
      </c>
      <c r="BI58" s="274">
        <f ca="1">Funds!$R$38</f>
        <v>-0.15972963753204919</v>
      </c>
      <c r="BJ58" s="274">
        <f ca="1">Funds!$R$40</f>
        <v>-0.16887551350866659</v>
      </c>
      <c r="BK58" s="274">
        <f ca="1">Funds!$R$42</f>
        <v>-1.9222891726906419</v>
      </c>
      <c r="BL58" s="274"/>
      <c r="BM58" s="274"/>
      <c r="BN58" s="274"/>
      <c r="BO58" s="274"/>
      <c r="BP58" s="274"/>
      <c r="BR58" s="154" t="s">
        <v>86</v>
      </c>
      <c r="BS58" s="158">
        <v>7.2599999999999998E-2</v>
      </c>
      <c r="BT58" s="154"/>
      <c r="BU58" s="154"/>
      <c r="BX58" s="154"/>
      <c r="BZ58" s="154"/>
      <c r="CA58" s="154"/>
      <c r="CB58" s="154"/>
      <c r="CE58" s="154"/>
      <c r="CG58" s="218"/>
      <c r="CH58" s="154" t="s">
        <v>84</v>
      </c>
      <c r="CI58" s="158">
        <v>0.1022482</v>
      </c>
      <c r="CJ58" s="153" t="str">
        <f t="shared" si="16"/>
        <v>Peru</v>
      </c>
      <c r="CK58" s="153" t="s">
        <v>83</v>
      </c>
      <c r="CL58" s="158">
        <v>-4.4535199999999997E-2</v>
      </c>
      <c r="CM58" s="153" t="str">
        <f t="shared" si="17"/>
        <v>Oman</v>
      </c>
      <c r="CN58" s="154"/>
      <c r="CO58" s="209" t="s">
        <v>97</v>
      </c>
      <c r="CP58" s="157">
        <v>-0.34063599999999999</v>
      </c>
      <c r="CQ58" s="210"/>
      <c r="CR58" s="209" t="s">
        <v>94</v>
      </c>
      <c r="CS58" s="158">
        <v>4.8192199999999998E-2</v>
      </c>
      <c r="CT58" s="154"/>
    </row>
    <row r="59" spans="6:98">
      <c r="F59" s="421">
        <v>41943</v>
      </c>
      <c r="G59" s="272">
        <f>BMG!F59</f>
        <v>-9.8171999999999999E-3</v>
      </c>
      <c r="H59" s="272" t="e">
        <f>IF('Carbon Risk Factor BMG'!$G$10="yes",AVERAGE(AC!$G23:$G58),NA())</f>
        <v>#N/A</v>
      </c>
      <c r="I59" s="272" t="e">
        <f>IF('Carbon Risk Factor BMG'!$G$11="yes",MIN(AC!$G23:$G58),NA())</f>
        <v>#N/A</v>
      </c>
      <c r="J59" s="272" t="e">
        <f>IF('Carbon Risk Factor BMG'!$G$12="yes",MAX(AC!$G23:$G58),NA())</f>
        <v>#N/A</v>
      </c>
      <c r="K59" s="272" t="e">
        <f>IF('Carbon Risk Factor BMG'!$G$13="yes",_xlfn.STDEV.S(AC!$G23:$G58),NA())</f>
        <v>#N/A</v>
      </c>
      <c r="L59" s="272" t="e">
        <f>IF('Carbon Risk Factor BMG'!$G$14="yes",_xlfn.PERCENTILE.INC(AC!$G23:$G58,'Carbon Risk Factor BMG'!$H$14),NA())</f>
        <v>#N/A</v>
      </c>
      <c r="M59" s="272" t="e">
        <f>IF('Carbon Risk Factor BMG'!$G$15="yes",_xlfn.PERCENTILE.INC(AC!$G23:$G58,'Carbon Risk Factor BMG'!$H$15),NA())</f>
        <v>#N/A</v>
      </c>
      <c r="N59" s="272">
        <f t="shared" si="25"/>
        <v>-0.13330965163723507</v>
      </c>
      <c r="O59" s="272"/>
      <c r="P59" s="421">
        <v>41943</v>
      </c>
      <c r="Q59" s="154">
        <f>HLOOKUP(Q$1,'Asset Returns'!$F$1:$N$109,ROW(),0)</f>
        <v>7.3368139564990997E-2</v>
      </c>
      <c r="R59" s="154">
        <f>HLOOKUP(R$1,'Asset Returns'!$F$1:$N$109,ROW(),0)</f>
        <v>-1.6200173646211624E-2</v>
      </c>
      <c r="S59" s="154">
        <f>HLOOKUP(S$1,'Asset Returns'!$F$1:$N$109,ROW(),0)</f>
        <v>-2.2819487378001213E-2</v>
      </c>
      <c r="T59" s="154">
        <f>HLOOKUP(T$1,'Asset Returns'!$F$1:$N$109,ROW(),0)</f>
        <v>-0.13396196067333221</v>
      </c>
      <c r="U59" s="154">
        <f>HLOOKUP(U$1,'Asset Returns'!$F$1:$N$109,ROW(),0)</f>
        <v>1.3441248796880245E-2</v>
      </c>
      <c r="V59" s="273" t="e">
        <f>IF(IF(Equity!$J$10="no",AA59,AF59)=0,NA(),IF(Equity!$J$10="no",AA59,AF59))</f>
        <v>#N/A</v>
      </c>
      <c r="W59" s="273" t="e">
        <f>IF(IF(Equity!$J$10="no",AB59,AG59)=0,NA(),IF(Equity!$J$10="no",AB59,AG59))</f>
        <v>#N/A</v>
      </c>
      <c r="X59" s="273" t="e">
        <f>IF(IF(Equity!$J$10="no",AC59,AH59)=0,NA(),IF(Equity!$J$10="no",AC59,AH59))</f>
        <v>#N/A</v>
      </c>
      <c r="Y59" s="273" t="e">
        <f>IF(IF(Equity!$J$10="no",AD59,AI59)=0,NA(),IF(Equity!$J$10="no",AD59,AI59))</f>
        <v>#N/A</v>
      </c>
      <c r="Z59" s="273" t="e">
        <f>IF(IF(Equity!$J$10="no",AE59,AJ59)=0,NA(),IF(Equity!$J$10="no",AE59,AJ59))</f>
        <v>#N/A</v>
      </c>
      <c r="AA59" s="274">
        <f ca="1">Equity!$R$34</f>
        <v>0.64097224418739052</v>
      </c>
      <c r="AB59" s="274">
        <f ca="1">Equity!$R$36</f>
        <v>-0.78557102570241866</v>
      </c>
      <c r="AC59" s="274">
        <f ca="1">Equity!$R$38</f>
        <v>0.9378377404978776</v>
      </c>
      <c r="AD59" s="274">
        <f ca="1">Equity!$R$40</f>
        <v>0.17519882647973573</v>
      </c>
      <c r="AE59" s="274">
        <f ca="1">Equity!$R$42</f>
        <v>7.3760094442444454E-2</v>
      </c>
      <c r="AF59" s="274"/>
      <c r="AG59" s="274"/>
      <c r="AH59" s="274"/>
      <c r="AI59" s="274"/>
      <c r="AJ59" s="274"/>
      <c r="AK59" s="274"/>
      <c r="AL59" s="421">
        <v>41943</v>
      </c>
      <c r="AM59" s="154">
        <f>HLOOKUP(AM$1,'Asset Returns'!$F$1:$ZS$109,ROW(),0)</f>
        <v>1.7910596865288619E-2</v>
      </c>
      <c r="AN59" s="154">
        <f>HLOOKUP(AN$1,'Asset Returns'!$F$1:$ZS$109,ROW(),0)</f>
        <v>1.286707431064027E-2</v>
      </c>
      <c r="AO59" s="273">
        <f ca="1">IF(IF(Bonds!$J$10="no",AQ59,AS59)=0,NA(),IF(Bonds!$J$10="no",AQ59,AS59))</f>
        <v>-0.12498736259259137</v>
      </c>
      <c r="AP59" s="273">
        <f ca="1">IF(IF(Bonds!$J$10="no",AR59,AT59)=0,NA(),IF(Bonds!$J$10="no",AR59,AT59))</f>
        <v>0.19970923689173462</v>
      </c>
      <c r="AQ59" s="273">
        <f ca="1">Bonds!$P$32</f>
        <v>-0.12498736259259137</v>
      </c>
      <c r="AR59" s="273">
        <f ca="1">Bonds!$P$34</f>
        <v>0.19970923689173462</v>
      </c>
      <c r="AS59" s="274"/>
      <c r="AT59" s="274"/>
      <c r="AU59" s="274"/>
      <c r="AV59" s="421">
        <v>41943</v>
      </c>
      <c r="AW59" s="154">
        <f>HLOOKUP(AW$1,'Asset Returns'!$F$1:$ZS$109,ROW(),0)</f>
        <v>-0.17850950000000002</v>
      </c>
      <c r="AX59" s="154">
        <f>HLOOKUP(AX$1,'Asset Returns'!$F$1:$ZS$109,ROW(),0)</f>
        <v>6.0746000000000003E-3</v>
      </c>
      <c r="AY59" s="154">
        <f>HLOOKUP(AY$1,'Asset Returns'!$F$1:$ZS$109,ROW(),0)</f>
        <v>-3.5913140000000003E-2</v>
      </c>
      <c r="AZ59" s="154">
        <f>HLOOKUP(AZ$1,'Asset Returns'!$F$1:$ZS$109,ROW(),0)</f>
        <v>1.7619999999999999E-3</v>
      </c>
      <c r="BA59" s="154">
        <f>HLOOKUP(BA$1,'Asset Returns'!$F$1:$ZS$109,ROW(),0)</f>
        <v>5.4029299999999995E-2</v>
      </c>
      <c r="BB59" s="273" t="e">
        <f>IF(IF(Funds!$J$10="no",BG59,BL59)=0,NA(),IF(Funds!$J$10="no",BG59,BL59))</f>
        <v>#N/A</v>
      </c>
      <c r="BC59" s="273" t="e">
        <f>IF(IF(Funds!$J$10="no",BH59,BM59)=0,NA(),IF(Funds!$J$10="no",BH59,BM59))</f>
        <v>#N/A</v>
      </c>
      <c r="BD59" s="273" t="e">
        <f>IF(IF(Funds!$J$10="no",BI59,BN59)=0,NA(),IF(Funds!$J$10="no",BI59,BN59))</f>
        <v>#N/A</v>
      </c>
      <c r="BE59" s="273" t="e">
        <f>IF(IF(Funds!$J$10="no",BJ59,BO59)=0,NA(),IF(Funds!$J$10="no",BJ59,BO59))</f>
        <v>#N/A</v>
      </c>
      <c r="BF59" s="273" t="e">
        <f>IF(IF(Funds!$J$10="no",BK59,BP59)=0,NA(),IF(Funds!$J$10="no",BK59,BP59))</f>
        <v>#N/A</v>
      </c>
      <c r="BG59" s="274">
        <f ca="1">Funds!$R$34</f>
        <v>2.5919346055080732</v>
      </c>
      <c r="BH59" s="274">
        <f ca="1">Funds!$R$36</f>
        <v>1.3378677483181089E-2</v>
      </c>
      <c r="BI59" s="274">
        <f ca="1">Funds!$R$38</f>
        <v>-0.15972963753204919</v>
      </c>
      <c r="BJ59" s="274">
        <f ca="1">Funds!$R$40</f>
        <v>-0.16887551350866659</v>
      </c>
      <c r="BK59" s="274">
        <f ca="1">Funds!$R$42</f>
        <v>-1.9222891726906419</v>
      </c>
      <c r="BL59" s="274"/>
      <c r="BM59" s="274"/>
      <c r="BN59" s="274"/>
      <c r="BO59" s="274"/>
      <c r="BP59" s="274"/>
      <c r="BR59" s="154" t="s">
        <v>87</v>
      </c>
      <c r="BS59" s="158">
        <v>-1.0712E-3</v>
      </c>
      <c r="BT59" s="154"/>
      <c r="BU59" s="154"/>
      <c r="BX59" s="154"/>
      <c r="BZ59" s="154"/>
      <c r="CA59" s="154"/>
      <c r="CB59" s="154"/>
      <c r="CE59" s="154"/>
      <c r="CG59" s="218"/>
      <c r="CH59" s="154" t="s">
        <v>86</v>
      </c>
      <c r="CI59" s="158">
        <v>4.2787400000000003E-2</v>
      </c>
      <c r="CJ59" s="153" t="str">
        <f t="shared" si="16"/>
        <v>Philippines</v>
      </c>
      <c r="CK59" s="153" t="s">
        <v>87</v>
      </c>
      <c r="CL59" s="158">
        <v>3.09415E-2</v>
      </c>
      <c r="CM59" s="153" t="str">
        <f t="shared" si="17"/>
        <v>Pakistan</v>
      </c>
      <c r="CN59" s="154"/>
      <c r="CO59" s="209" t="s">
        <v>105</v>
      </c>
      <c r="CP59" s="157">
        <v>0.41407699999999997</v>
      </c>
      <c r="CQ59" s="210"/>
      <c r="CR59" s="209" t="s">
        <v>92</v>
      </c>
      <c r="CS59" s="158">
        <v>-0.14735680000000001</v>
      </c>
      <c r="CT59" s="154"/>
    </row>
    <row r="60" spans="6:98">
      <c r="F60" s="421">
        <v>41973</v>
      </c>
      <c r="G60" s="272">
        <f>BMG!F60</f>
        <v>-5.2712000000000002E-2</v>
      </c>
      <c r="H60" s="272" t="e">
        <f>IF('Carbon Risk Factor BMG'!$G$10="yes",AVERAGE(AC!$G24:$G59),NA())</f>
        <v>#N/A</v>
      </c>
      <c r="I60" s="272" t="e">
        <f>IF('Carbon Risk Factor BMG'!$G$11="yes",MIN(AC!$G24:$G59),NA())</f>
        <v>#N/A</v>
      </c>
      <c r="J60" s="272" t="e">
        <f>IF('Carbon Risk Factor BMG'!$G$12="yes",MAX(AC!$G24:$G59),NA())</f>
        <v>#N/A</v>
      </c>
      <c r="K60" s="272" t="e">
        <f>IF('Carbon Risk Factor BMG'!$G$13="yes",_xlfn.STDEV.S(AC!$G24:$G59),NA())</f>
        <v>#N/A</v>
      </c>
      <c r="L60" s="272" t="e">
        <f>IF('Carbon Risk Factor BMG'!$G$14="yes",_xlfn.PERCENTILE.INC(AC!$G24:$G59,'Carbon Risk Factor BMG'!$H$14),NA())</f>
        <v>#N/A</v>
      </c>
      <c r="M60" s="272" t="e">
        <f>IF('Carbon Risk Factor BMG'!$G$15="yes",_xlfn.PERCENTILE.INC(AC!$G24:$G59,'Carbon Risk Factor BMG'!$H$15),NA())</f>
        <v>#N/A</v>
      </c>
      <c r="N60" s="272">
        <f t="shared" si="25"/>
        <v>-0.1789946332801331</v>
      </c>
      <c r="O60" s="272"/>
      <c r="P60" s="421">
        <v>41973</v>
      </c>
      <c r="Q60" s="154">
        <f>HLOOKUP(Q$1,'Asset Returns'!$F$1:$N$109,ROW(),0)</f>
        <v>-1.4894863590598106E-2</v>
      </c>
      <c r="R60" s="154">
        <f>HLOOKUP(R$1,'Asset Returns'!$F$1:$N$109,ROW(),0)</f>
        <v>6.3172824680805206E-2</v>
      </c>
      <c r="S60" s="154">
        <f>HLOOKUP(S$1,'Asset Returns'!$F$1:$N$109,ROW(),0)</f>
        <v>-7.0511765778064728E-2</v>
      </c>
      <c r="T60" s="154">
        <f>HLOOKUP(T$1,'Asset Returns'!$F$1:$N$109,ROW(),0)</f>
        <v>-6.844058632850647E-3</v>
      </c>
      <c r="U60" s="154">
        <f>HLOOKUP(U$1,'Asset Returns'!$F$1:$N$109,ROW(),0)</f>
        <v>5.07701076567173E-2</v>
      </c>
      <c r="V60" s="273" t="e">
        <f>IF(IF(Equity!$J$10="no",AA60,AF60)=0,NA(),IF(Equity!$J$10="no",AA60,AF60))</f>
        <v>#N/A</v>
      </c>
      <c r="W60" s="273" t="e">
        <f>IF(IF(Equity!$J$10="no",AB60,AG60)=0,NA(),IF(Equity!$J$10="no",AB60,AG60))</f>
        <v>#N/A</v>
      </c>
      <c r="X60" s="273" t="e">
        <f>IF(IF(Equity!$J$10="no",AC60,AH60)=0,NA(),IF(Equity!$J$10="no",AC60,AH60))</f>
        <v>#N/A</v>
      </c>
      <c r="Y60" s="273" t="e">
        <f>IF(IF(Equity!$J$10="no",AD60,AI60)=0,NA(),IF(Equity!$J$10="no",AD60,AI60))</f>
        <v>#N/A</v>
      </c>
      <c r="Z60" s="273" t="e">
        <f>IF(IF(Equity!$J$10="no",AE60,AJ60)=0,NA(),IF(Equity!$J$10="no",AE60,AJ60))</f>
        <v>#N/A</v>
      </c>
      <c r="AA60" s="274">
        <f ca="1">Equity!$R$34</f>
        <v>0.64097224418739052</v>
      </c>
      <c r="AB60" s="274">
        <f ca="1">Equity!$R$36</f>
        <v>-0.78557102570241866</v>
      </c>
      <c r="AC60" s="274">
        <f ca="1">Equity!$R$38</f>
        <v>0.9378377404978776</v>
      </c>
      <c r="AD60" s="274">
        <f ca="1">Equity!$R$40</f>
        <v>0.17519882647973573</v>
      </c>
      <c r="AE60" s="274">
        <f ca="1">Equity!$R$42</f>
        <v>7.3760094442444454E-2</v>
      </c>
      <c r="AF60" s="274"/>
      <c r="AG60" s="274"/>
      <c r="AH60" s="274"/>
      <c r="AI60" s="274"/>
      <c r="AJ60" s="274"/>
      <c r="AK60" s="274"/>
      <c r="AL60" s="421">
        <v>41973</v>
      </c>
      <c r="AM60" s="154">
        <f>HLOOKUP(AM$1,'Asset Returns'!$F$1:$ZS$109,ROW(),0)</f>
        <v>1.539426780838471E-2</v>
      </c>
      <c r="AN60" s="154">
        <f>HLOOKUP(AN$1,'Asset Returns'!$F$1:$ZS$109,ROW(),0)</f>
        <v>1.6774733118321894E-2</v>
      </c>
      <c r="AO60" s="273">
        <f ca="1">IF(IF(Bonds!$J$10="no",AQ60,AS60)=0,NA(),IF(Bonds!$J$10="no",AQ60,AS60))</f>
        <v>-0.12498736259259137</v>
      </c>
      <c r="AP60" s="273">
        <f ca="1">IF(IF(Bonds!$J$10="no",AR60,AT60)=0,NA(),IF(Bonds!$J$10="no",AR60,AT60))</f>
        <v>0.19970923689173462</v>
      </c>
      <c r="AQ60" s="273">
        <f ca="1">Bonds!$P$32</f>
        <v>-0.12498736259259137</v>
      </c>
      <c r="AR60" s="273">
        <f ca="1">Bonds!$P$34</f>
        <v>0.19970923689173462</v>
      </c>
      <c r="AS60" s="274"/>
      <c r="AT60" s="274"/>
      <c r="AU60" s="274"/>
      <c r="AV60" s="421">
        <v>41973</v>
      </c>
      <c r="AW60" s="154">
        <f>HLOOKUP(AW$1,'Asset Returns'!$F$1:$ZS$109,ROW(),0)</f>
        <v>4.2193999999999999E-3</v>
      </c>
      <c r="AX60" s="154">
        <f>HLOOKUP(AX$1,'Asset Returns'!$F$1:$ZS$109,ROW(),0)</f>
        <v>2.0522300000000004E-2</v>
      </c>
      <c r="AY60" s="154">
        <f>HLOOKUP(AY$1,'Asset Returns'!$F$1:$ZS$109,ROW(),0)</f>
        <v>4.3624379999999997E-2</v>
      </c>
      <c r="AZ60" s="154">
        <f>HLOOKUP(AZ$1,'Asset Returns'!$F$1:$ZS$109,ROW(),0)</f>
        <v>3.1545919999999998E-2</v>
      </c>
      <c r="BA60" s="154">
        <f>HLOOKUP(BA$1,'Asset Returns'!$F$1:$ZS$109,ROW(),0)</f>
        <v>0.1880973</v>
      </c>
      <c r="BB60" s="273" t="e">
        <f>IF(IF(Funds!$J$10="no",BG60,BL60)=0,NA(),IF(Funds!$J$10="no",BG60,BL60))</f>
        <v>#N/A</v>
      </c>
      <c r="BC60" s="273" t="e">
        <f>IF(IF(Funds!$J$10="no",BH60,BM60)=0,NA(),IF(Funds!$J$10="no",BH60,BM60))</f>
        <v>#N/A</v>
      </c>
      <c r="BD60" s="273" t="e">
        <f>IF(IF(Funds!$J$10="no",BI60,BN60)=0,NA(),IF(Funds!$J$10="no",BI60,BN60))</f>
        <v>#N/A</v>
      </c>
      <c r="BE60" s="273" t="e">
        <f>IF(IF(Funds!$J$10="no",BJ60,BO60)=0,NA(),IF(Funds!$J$10="no",BJ60,BO60))</f>
        <v>#N/A</v>
      </c>
      <c r="BF60" s="273" t="e">
        <f>IF(IF(Funds!$J$10="no",BK60,BP60)=0,NA(),IF(Funds!$J$10="no",BK60,BP60))</f>
        <v>#N/A</v>
      </c>
      <c r="BG60" s="274">
        <f ca="1">Funds!$R$34</f>
        <v>2.5919346055080732</v>
      </c>
      <c r="BH60" s="274">
        <f ca="1">Funds!$R$36</f>
        <v>1.3378677483181089E-2</v>
      </c>
      <c r="BI60" s="274">
        <f ca="1">Funds!$R$38</f>
        <v>-0.15972963753204919</v>
      </c>
      <c r="BJ60" s="274">
        <f ca="1">Funds!$R$40</f>
        <v>-0.16887551350866659</v>
      </c>
      <c r="BK60" s="274">
        <f ca="1">Funds!$R$42</f>
        <v>-1.9222891726906419</v>
      </c>
      <c r="BL60" s="274"/>
      <c r="BM60" s="274"/>
      <c r="BN60" s="274"/>
      <c r="BO60" s="274"/>
      <c r="BP60" s="274"/>
      <c r="BR60" s="154" t="s">
        <v>88</v>
      </c>
      <c r="BS60" s="158">
        <v>-0.31023709999999999</v>
      </c>
      <c r="BT60" s="154"/>
      <c r="BU60" s="154"/>
      <c r="BX60" s="154"/>
      <c r="BZ60" s="154"/>
      <c r="CA60" s="154"/>
      <c r="CB60" s="154"/>
      <c r="CE60" s="154"/>
      <c r="CG60" s="218"/>
      <c r="CH60" s="154" t="s">
        <v>88</v>
      </c>
      <c r="CI60" s="158">
        <v>-0.39985189999999998</v>
      </c>
      <c r="CJ60" s="153" t="str">
        <f t="shared" si="16"/>
        <v>Poland</v>
      </c>
      <c r="CK60" s="153" t="s">
        <v>85</v>
      </c>
      <c r="CL60" s="158">
        <v>0.59999780000000003</v>
      </c>
      <c r="CM60" s="153" t="str">
        <f t="shared" si="17"/>
        <v>Papua New Guinea</v>
      </c>
      <c r="CN60" s="154"/>
      <c r="CO60" s="209" t="s">
        <v>68</v>
      </c>
      <c r="CP60" s="157">
        <v>0.1099218</v>
      </c>
      <c r="CQ60" s="210"/>
      <c r="CR60" s="209" t="s">
        <v>97</v>
      </c>
      <c r="CS60" s="158">
        <v>-0.33286379999999999</v>
      </c>
      <c r="CT60" s="154"/>
    </row>
    <row r="61" spans="6:98" s="352" customFormat="1">
      <c r="F61" s="422">
        <v>42004</v>
      </c>
      <c r="G61" s="354">
        <f>BMG!F61</f>
        <v>3.5618999999999998E-3</v>
      </c>
      <c r="H61" s="354" t="e">
        <f>IF('Carbon Risk Factor BMG'!$G$10="yes",AVERAGE(AC!$G25:$G60),NA())</f>
        <v>#N/A</v>
      </c>
      <c r="I61" s="354" t="e">
        <f>IF('Carbon Risk Factor BMG'!$G$11="yes",MIN(AC!$G25:$G60),NA())</f>
        <v>#N/A</v>
      </c>
      <c r="J61" s="354" t="e">
        <f>IF('Carbon Risk Factor BMG'!$G$12="yes",MAX(AC!$G25:$G60),NA())</f>
        <v>#N/A</v>
      </c>
      <c r="K61" s="354" t="e">
        <f>IF('Carbon Risk Factor BMG'!$G$13="yes",_xlfn.STDEV.S(AC!$G25:$G60),NA())</f>
        <v>#N/A</v>
      </c>
      <c r="L61" s="354" t="e">
        <f>IF('Carbon Risk Factor BMG'!$G$14="yes",_xlfn.PERCENTILE.INC(AC!$G25:$G60,'Carbon Risk Factor BMG'!$H$14),NA())</f>
        <v>#N/A</v>
      </c>
      <c r="M61" s="354" t="e">
        <f>IF('Carbon Risk Factor BMG'!$G$15="yes",_xlfn.PERCENTILE.INC(AC!$G25:$G60,'Carbon Risk Factor BMG'!$H$15),NA())</f>
        <v>#N/A</v>
      </c>
      <c r="N61" s="354">
        <f t="shared" si="25"/>
        <v>-0.17607029426441356</v>
      </c>
      <c r="O61" s="354"/>
      <c r="P61" s="422">
        <v>42004</v>
      </c>
      <c r="Q61" s="350">
        <f>HLOOKUP(Q$1,'Asset Returns'!$F$1:$N$109,ROW(),0)</f>
        <v>-8.6842276155948639E-2</v>
      </c>
      <c r="R61" s="350">
        <f>HLOOKUP(R$1,'Asset Returns'!$F$1:$N$109,ROW(),0)</f>
        <v>2.2932499647140503E-2</v>
      </c>
      <c r="S61" s="350">
        <f>HLOOKUP(S$1,'Asset Returns'!$F$1:$N$109,ROW(),0)</f>
        <v>-2.6134183630347252E-2</v>
      </c>
      <c r="T61" s="350">
        <f>HLOOKUP(T$1,'Asset Returns'!$F$1:$N$109,ROW(),0)</f>
        <v>-1.0667819529771805E-2</v>
      </c>
      <c r="U61" s="350">
        <f>HLOOKUP(U$1,'Asset Returns'!$F$1:$N$109,ROW(),0)</f>
        <v>-1.330076064914465E-2</v>
      </c>
      <c r="V61" s="355">
        <f>IF(IF(Equity!$J$10="no",AA61,AF61)=0,NA(),IF(Equity!$J$10="no",AA61,AF61))</f>
        <v>1.0310470230847979</v>
      </c>
      <c r="W61" s="355">
        <f>IF(IF(Equity!$J$10="no",AB61,AG61)=0,NA(),IF(Equity!$J$10="no",AB61,AG61))</f>
        <v>-0.7736058328701797</v>
      </c>
      <c r="X61" s="355">
        <f>IF(IF(Equity!$J$10="no",AC61,AH61)=0,NA(),IF(Equity!$J$10="no",AC61,AH61))</f>
        <v>1.0230615532330569</v>
      </c>
      <c r="Y61" s="355">
        <f>IF(IF(Equity!$J$10="no",AD61,AI61)=0,NA(),IF(Equity!$J$10="no",AD61,AI61))</f>
        <v>3.6011672901259277E-2</v>
      </c>
      <c r="Z61" s="355">
        <f>IF(IF(Equity!$J$10="no",AE61,AJ61)=0,NA(),IF(Equity!$J$10="no",AE61,AJ61))</f>
        <v>0.24455165663837489</v>
      </c>
      <c r="AA61" s="356">
        <f ca="1">Equity!$R$34</f>
        <v>0.64097224418739052</v>
      </c>
      <c r="AB61" s="356">
        <f ca="1">Equity!$R$36</f>
        <v>-0.78557102570241866</v>
      </c>
      <c r="AC61" s="356">
        <f ca="1">Equity!$R$38</f>
        <v>0.9378377404978776</v>
      </c>
      <c r="AD61" s="356">
        <f ca="1">Equity!$R$40</f>
        <v>0.17519882647973573</v>
      </c>
      <c r="AE61" s="356">
        <f ca="1">Equity!$R$42</f>
        <v>7.3760094442444454E-2</v>
      </c>
      <c r="AF61" s="356">
        <f>INDEX(LINEST(Q2:Q61,'AC2'!$F2:$J61,1,1),1,1)</f>
        <v>1.0310470230847979</v>
      </c>
      <c r="AG61" s="356">
        <f>INDEX(LINEST(R2:R61,'AC2'!$F2:$J61,1,1),1,1)</f>
        <v>-0.7736058328701797</v>
      </c>
      <c r="AH61" s="356">
        <f>INDEX(LINEST(S2:S61,'AC2'!$F2:$J61,1,1),1,1)</f>
        <v>1.0230615532330569</v>
      </c>
      <c r="AI61" s="356">
        <f>INDEX(LINEST(T2:T61,'AC2'!$F2:$J61,1,1),1,1)</f>
        <v>3.6011672901259277E-2</v>
      </c>
      <c r="AJ61" s="356">
        <f>INDEX(LINEST(U2:U61,'AC2'!$F2:$J61,1,1),1,1)</f>
        <v>0.24455165663837489</v>
      </c>
      <c r="AK61" s="356"/>
      <c r="AL61" s="422">
        <v>42004</v>
      </c>
      <c r="AM61" s="154">
        <f>HLOOKUP(AM$1,'Asset Returns'!$F$1:$ZS$109,ROW(),0)</f>
        <v>6.5552153486621023E-3</v>
      </c>
      <c r="AN61" s="154">
        <f>HLOOKUP(AN$1,'Asset Returns'!$F$1:$ZS$109,ROW(),0)</f>
        <v>2.1783011331136803E-2</v>
      </c>
      <c r="AO61" s="273">
        <f ca="1">IF(IF(Bonds!$J$10="no",AQ61,AS61)=0,NA(),IF(Bonds!$J$10="no",AQ61,AS61))</f>
        <v>-0.12498736259259137</v>
      </c>
      <c r="AP61" s="273">
        <f ca="1">IF(IF(Bonds!$J$10="no",AR61,AT61)=0,NA(),IF(Bonds!$J$10="no",AR61,AT61))</f>
        <v>0.19970923689173462</v>
      </c>
      <c r="AQ61" s="273">
        <f ca="1">Bonds!$P$32</f>
        <v>-0.12498736259259137</v>
      </c>
      <c r="AR61" s="273">
        <f ca="1">Bonds!$P$34</f>
        <v>0.19970923689173462</v>
      </c>
      <c r="AS61" s="356">
        <f>INDEX(LINEST(AM2:AM61,'AC2'!$F2:$J61,1,1),1,1)</f>
        <v>0.10285096456489327</v>
      </c>
      <c r="AT61" s="356">
        <f>INDEX(LINEST(AN2:AN61,'AC2'!$F2:$J61,1,1),1,1)</f>
        <v>0.49442144657695697</v>
      </c>
      <c r="AU61" s="356"/>
      <c r="AV61" s="422">
        <v>42004</v>
      </c>
      <c r="AW61" s="350">
        <f>HLOOKUP(AW$1,'Asset Returns'!$F$1:$ZS$109,ROW(),0)</f>
        <v>-2.1007999999999999E-3</v>
      </c>
      <c r="AX61" s="350">
        <f>HLOOKUP(AX$1,'Asset Returns'!$F$1:$ZS$109,ROW(),0)</f>
        <v>-1.6465799999999999E-2</v>
      </c>
      <c r="AY61" s="350">
        <f>HLOOKUP(AY$1,'Asset Returns'!$F$1:$ZS$109,ROW(),0)</f>
        <v>-5.1853569999999995E-2</v>
      </c>
      <c r="AZ61" s="350">
        <f>HLOOKUP(AZ$1,'Asset Returns'!$F$1:$ZS$109,ROW(),0)</f>
        <v>-1.6361489999999999E-2</v>
      </c>
      <c r="BA61" s="350">
        <f>HLOOKUP(BA$1,'Asset Returns'!$F$1:$ZS$109,ROW(),0)</f>
        <v>-2.3948800000000003E-2</v>
      </c>
      <c r="BB61" s="355">
        <f>IF(IF(Funds!$J$10="no",BG61,BL61)=0,NA(),IF(Funds!$J$10="no",BG61,BL61))</f>
        <v>2.0070412477236994</v>
      </c>
      <c r="BC61" s="355">
        <f>IF(IF(Funds!$J$10="no",BH61,BM61)=0,NA(),IF(Funds!$J$10="no",BH61,BM61))</f>
        <v>2.123885719927212E-2</v>
      </c>
      <c r="BD61" s="355">
        <f>IF(IF(Funds!$J$10="no",BI61,BN61)=0,NA(),IF(Funds!$J$10="no",BI61,BN61))</f>
        <v>-0.1885049843343993</v>
      </c>
      <c r="BE61" s="355">
        <f>IF(IF(Funds!$J$10="no",BJ61,BO61)=0,NA(),IF(Funds!$J$10="no",BJ61,BO61))</f>
        <v>-0.25011451512380622</v>
      </c>
      <c r="BF61" s="355">
        <f>IF(IF(Funds!$J$10="no",BK61,BP61)=0,NA(),IF(Funds!$J$10="no",BK61,BP61))</f>
        <v>-2.0719617385588052</v>
      </c>
      <c r="BG61" s="356">
        <f ca="1">Funds!$R$34</f>
        <v>2.5919346055080732</v>
      </c>
      <c r="BH61" s="356">
        <f ca="1">Funds!$R$36</f>
        <v>1.3378677483181089E-2</v>
      </c>
      <c r="BI61" s="356">
        <f ca="1">Funds!$R$38</f>
        <v>-0.15972963753204919</v>
      </c>
      <c r="BJ61" s="356">
        <f ca="1">Funds!$R$40</f>
        <v>-0.16887551350866659</v>
      </c>
      <c r="BK61" s="356">
        <f ca="1">Funds!$R$42</f>
        <v>-1.9222891726906419</v>
      </c>
      <c r="BL61" s="356">
        <f>INDEX(LINEST(AW2:AW61,'AC2'!$F2:$J61,1,1),1,1)</f>
        <v>2.0070412477236994</v>
      </c>
      <c r="BM61" s="356">
        <f>INDEX(LINEST(AX2:AX61,'AC2'!$F2:$J61,1,1),1,1)</f>
        <v>2.123885719927212E-2</v>
      </c>
      <c r="BN61" s="356">
        <f>INDEX(LINEST(AY2:AY61,'AC2'!$F2:$J61,1,1),1,1)</f>
        <v>-0.1885049843343993</v>
      </c>
      <c r="BO61" s="356">
        <f>INDEX(LINEST(AZ2:AZ61,'AC2'!$F2:$J61,1,1),1,1)</f>
        <v>-0.25011451512380622</v>
      </c>
      <c r="BP61" s="356">
        <f>INDEX(LINEST(BA2:BA61,'AC2'!$F2:$J61,1,1),1,1)</f>
        <v>-2.0719617385588052</v>
      </c>
      <c r="BR61" s="350" t="s">
        <v>89</v>
      </c>
      <c r="BS61" s="349">
        <v>-0.50533629999999996</v>
      </c>
      <c r="BT61" s="350"/>
      <c r="BU61" s="350"/>
      <c r="BX61" s="350"/>
      <c r="BZ61" s="350"/>
      <c r="CA61" s="350"/>
      <c r="CB61" s="350"/>
      <c r="CE61" s="350"/>
      <c r="CG61" s="357"/>
      <c r="CH61" s="350" t="s">
        <v>89</v>
      </c>
      <c r="CI61" s="349">
        <v>-0.70958659999999996</v>
      </c>
      <c r="CJ61" s="352" t="str">
        <f t="shared" si="16"/>
        <v>Portugal</v>
      </c>
      <c r="CK61" s="352" t="s">
        <v>84</v>
      </c>
      <c r="CL61" s="349">
        <v>7.1563699999999994E-2</v>
      </c>
      <c r="CM61" s="352" t="str">
        <f t="shared" si="17"/>
        <v>Peru</v>
      </c>
      <c r="CN61" s="350"/>
      <c r="CO61" s="358" t="s">
        <v>51</v>
      </c>
      <c r="CP61" s="351">
        <v>-0.95318210000000003</v>
      </c>
      <c r="CQ61" s="359"/>
      <c r="CR61" s="358" t="s">
        <v>96</v>
      </c>
      <c r="CS61" s="349">
        <v>-0.31344949999999999</v>
      </c>
      <c r="CT61" s="350"/>
    </row>
    <row r="62" spans="6:98">
      <c r="F62" s="421">
        <v>42035</v>
      </c>
      <c r="G62" s="272">
        <f>BMG!F62</f>
        <v>-8.0824999999999994E-3</v>
      </c>
      <c r="H62" s="272" t="e">
        <f>IF('Carbon Risk Factor BMG'!$G$10="yes",AVERAGE(AC!$G26:$G61),NA())</f>
        <v>#N/A</v>
      </c>
      <c r="I62" s="272" t="e">
        <f>IF('Carbon Risk Factor BMG'!$G$11="yes",MIN(AC!$G26:$G61),NA())</f>
        <v>#N/A</v>
      </c>
      <c r="J62" s="272" t="e">
        <f>IF('Carbon Risk Factor BMG'!$G$12="yes",MAX(AC!$G26:$G61),NA())</f>
        <v>#N/A</v>
      </c>
      <c r="K62" s="272" t="e">
        <f>IF('Carbon Risk Factor BMG'!$G$13="yes",_xlfn.STDEV.S(AC!$G26:$G61),NA())</f>
        <v>#N/A</v>
      </c>
      <c r="L62" s="272" t="e">
        <f>IF('Carbon Risk Factor BMG'!$G$14="yes",_xlfn.PERCENTILE.INC(AC!$G26:$G61,'Carbon Risk Factor BMG'!$H$14),NA())</f>
        <v>#N/A</v>
      </c>
      <c r="M62" s="272" t="e">
        <f>IF('Carbon Risk Factor BMG'!$G$15="yes",_xlfn.PERCENTILE.INC(AC!$G26:$G61,'Carbon Risk Factor BMG'!$H$15),NA())</f>
        <v>#N/A</v>
      </c>
      <c r="N62" s="272">
        <f t="shared" si="25"/>
        <v>-0.18272970611102146</v>
      </c>
      <c r="O62" s="272"/>
      <c r="P62" s="421">
        <v>42035</v>
      </c>
      <c r="Q62" s="154">
        <f>HLOOKUP(Q$1,'Asset Returns'!$F$1:$N$109,ROW(),0)</f>
        <v>0.20344924926757813</v>
      </c>
      <c r="R62" s="154">
        <f>HLOOKUP(R$1,'Asset Returns'!$F$1:$N$109,ROW(),0)</f>
        <v>3.2437883317470551E-2</v>
      </c>
      <c r="S62" s="154">
        <f>HLOOKUP(S$1,'Asset Returns'!$F$1:$N$109,ROW(),0)</f>
        <v>-5.2603268995881081E-3</v>
      </c>
      <c r="T62" s="154">
        <f>HLOOKUP(T$1,'Asset Returns'!$F$1:$N$109,ROW(),0)</f>
        <v>-4.4440284371376038E-2</v>
      </c>
      <c r="U62" s="154">
        <f>HLOOKUP(U$1,'Asset Returns'!$F$1:$N$109,ROW(),0)</f>
        <v>-3.5350754857063293E-2</v>
      </c>
      <c r="V62" s="273">
        <f>IF(IF(Equity!$J$10="no",AA62,AF62)=0,NA(),IF(Equity!$J$10="no",AA62,AF62))</f>
        <v>0.87696943949903483</v>
      </c>
      <c r="W62" s="273">
        <f>IF(IF(Equity!$J$10="no",AB62,AG62)=0,NA(),IF(Equity!$J$10="no",AB62,AG62))</f>
        <v>-0.86499468407552604</v>
      </c>
      <c r="X62" s="273">
        <f>IF(IF(Equity!$J$10="no",AC62,AH62)=0,NA(),IF(Equity!$J$10="no",AC62,AH62))</f>
        <v>1.1182929982871335</v>
      </c>
      <c r="Y62" s="273">
        <f>IF(IF(Equity!$J$10="no",AD62,AI62)=0,NA(),IF(Equity!$J$10="no",AD62,AI62))</f>
        <v>-1.2874275489696514E-2</v>
      </c>
      <c r="Z62" s="273">
        <f>IF(IF(Equity!$J$10="no",AE62,AJ62)=0,NA(),IF(Equity!$J$10="no",AE62,AJ62))</f>
        <v>0.1590676762837504</v>
      </c>
      <c r="AA62" s="274">
        <f ca="1">Equity!$R$34</f>
        <v>0.64097224418739052</v>
      </c>
      <c r="AB62" s="274">
        <f ca="1">Equity!$R$36</f>
        <v>-0.78557102570241866</v>
      </c>
      <c r="AC62" s="274">
        <f ca="1">Equity!$R$38</f>
        <v>0.9378377404978776</v>
      </c>
      <c r="AD62" s="274">
        <f ca="1">Equity!$R$40</f>
        <v>0.17519882647973573</v>
      </c>
      <c r="AE62" s="274">
        <f ca="1">Equity!$R$42</f>
        <v>7.3760094442444454E-2</v>
      </c>
      <c r="AF62" s="274">
        <f>INDEX(LINEST(Q3:Q62,'AC2'!$F3:$J62,1,1),1,1)</f>
        <v>0.87696943949903483</v>
      </c>
      <c r="AG62" s="274">
        <f>INDEX(LINEST(R3:R62,'AC2'!$F3:$J62,1,1),1,1)</f>
        <v>-0.86499468407552604</v>
      </c>
      <c r="AH62" s="274">
        <f>INDEX(LINEST(S3:S62,'AC2'!$F3:$J62,1,1),1,1)</f>
        <v>1.1182929982871335</v>
      </c>
      <c r="AI62" s="274">
        <f>INDEX(LINEST(T3:T62,'AC2'!$F3:$J62,1,1),1,1)</f>
        <v>-1.2874275489696514E-2</v>
      </c>
      <c r="AJ62" s="274">
        <f>INDEX(LINEST(U3:U62,'AC2'!$F3:$J62,1,1),1,1)</f>
        <v>0.1590676762837504</v>
      </c>
      <c r="AK62" s="274"/>
      <c r="AL62" s="421">
        <v>42035</v>
      </c>
      <c r="AM62" s="154">
        <f>HLOOKUP(AM$1,'Asset Returns'!$F$1:$ZS$109,ROW(),0)</f>
        <v>4.4990946253669506E-2</v>
      </c>
      <c r="AN62" s="154">
        <f>HLOOKUP(AN$1,'Asset Returns'!$F$1:$ZS$109,ROW(),0)</f>
        <v>7.132579840757991E-2</v>
      </c>
      <c r="AO62" s="273">
        <f ca="1">IF(IF(Bonds!$J$10="no",AQ62,AS62)=0,NA(),IF(Bonds!$J$10="no",AQ62,AS62))</f>
        <v>-0.12498736259259137</v>
      </c>
      <c r="AP62" s="273">
        <f ca="1">IF(IF(Bonds!$J$10="no",AR62,AT62)=0,NA(),IF(Bonds!$J$10="no",AR62,AT62))</f>
        <v>0.19970923689173462</v>
      </c>
      <c r="AQ62" s="273">
        <f ca="1">Bonds!$P$32</f>
        <v>-0.12498736259259137</v>
      </c>
      <c r="AR62" s="273">
        <f ca="1">Bonds!$P$34</f>
        <v>0.19970923689173462</v>
      </c>
      <c r="AS62" s="274">
        <f>INDEX(LINEST(AM3:AM62,'AC2'!$F3:$J62,1,1),1,1)</f>
        <v>0.12636911147890109</v>
      </c>
      <c r="AT62" s="274">
        <f>INDEX(LINEST(AN3:AN62,'AC2'!$F3:$J62,1,1),1,1)</f>
        <v>0.48427459336494527</v>
      </c>
      <c r="AU62" s="274"/>
      <c r="AV62" s="421">
        <v>42035</v>
      </c>
      <c r="AW62" s="154">
        <f>HLOOKUP(AW$1,'Asset Returns'!$F$1:$ZS$109,ROW(),0)</f>
        <v>7.1578900000000001E-2</v>
      </c>
      <c r="AX62" s="154">
        <f>HLOOKUP(AX$1,'Asset Returns'!$F$1:$ZS$109,ROW(),0)</f>
        <v>-1.8390200000000002E-2</v>
      </c>
      <c r="AY62" s="154">
        <f>HLOOKUP(AY$1,'Asset Returns'!$F$1:$ZS$109,ROW(),0)</f>
        <v>-1.47809E-3</v>
      </c>
      <c r="AZ62" s="154">
        <f>HLOOKUP(AZ$1,'Asset Returns'!$F$1:$ZS$109,ROW(),0)</f>
        <v>-1.6290840000000001E-2</v>
      </c>
      <c r="BA62" s="154">
        <f>HLOOKUP(BA$1,'Asset Returns'!$F$1:$ZS$109,ROW(),0)</f>
        <v>7.8291799999999995E-2</v>
      </c>
      <c r="BB62" s="273">
        <f>IF(IF(Funds!$J$10="no",BG62,BL62)=0,NA(),IF(Funds!$J$10="no",BG62,BL62))</f>
        <v>1.9035990122372217</v>
      </c>
      <c r="BC62" s="273">
        <f>IF(IF(Funds!$J$10="no",BH62,BM62)=0,NA(),IF(Funds!$J$10="no",BH62,BM62))</f>
        <v>1.9878162192758779E-2</v>
      </c>
      <c r="BD62" s="273">
        <f>IF(IF(Funds!$J$10="no",BI62,BN62)=0,NA(),IF(Funds!$J$10="no",BI62,BN62))</f>
        <v>-0.17756065955255471</v>
      </c>
      <c r="BE62" s="273">
        <f>IF(IF(Funds!$J$10="no",BJ62,BO62)=0,NA(),IF(Funds!$J$10="no",BJ62,BO62))</f>
        <v>-0.26150244604088918</v>
      </c>
      <c r="BF62" s="273">
        <f>IF(IF(Funds!$J$10="no",BK62,BP62)=0,NA(),IF(Funds!$J$10="no",BK62,BP62))</f>
        <v>-2.0983975067972338</v>
      </c>
      <c r="BG62" s="274">
        <f ca="1">Funds!$R$34</f>
        <v>2.5919346055080732</v>
      </c>
      <c r="BH62" s="274">
        <f ca="1">Funds!$R$36</f>
        <v>1.3378677483181089E-2</v>
      </c>
      <c r="BI62" s="274">
        <f ca="1">Funds!$R$38</f>
        <v>-0.15972963753204919</v>
      </c>
      <c r="BJ62" s="274">
        <f ca="1">Funds!$R$40</f>
        <v>-0.16887551350866659</v>
      </c>
      <c r="BK62" s="274">
        <f ca="1">Funds!$R$42</f>
        <v>-1.9222891726906419</v>
      </c>
      <c r="BL62" s="274">
        <f>INDEX(LINEST(AW3:AW62,'AC2'!$F3:$J62,1,1),1,1)</f>
        <v>1.9035990122372217</v>
      </c>
      <c r="BM62" s="274">
        <f>INDEX(LINEST(AX3:AX62,'AC2'!$F3:$J62,1,1),1,1)</f>
        <v>1.9878162192758779E-2</v>
      </c>
      <c r="BN62" s="274">
        <f>INDEX(LINEST(AY3:AY62,'AC2'!$F3:$J62,1,1),1,1)</f>
        <v>-0.17756065955255471</v>
      </c>
      <c r="BO62" s="274">
        <f>INDEX(LINEST(AZ3:AZ62,'AC2'!$F3:$J62,1,1),1,1)</f>
        <v>-0.26150244604088918</v>
      </c>
      <c r="BP62" s="274">
        <f>INDEX(LINEST(BA3:BA62,'AC2'!$F3:$J62,1,1),1,1)</f>
        <v>-2.0983975067972338</v>
      </c>
      <c r="BR62" s="154" t="s">
        <v>90</v>
      </c>
      <c r="BS62" s="158">
        <v>-5.2564399999999997E-2</v>
      </c>
      <c r="BT62" s="154"/>
      <c r="BU62" s="154"/>
      <c r="BX62" s="154"/>
      <c r="BZ62" s="154"/>
      <c r="CA62" s="154"/>
      <c r="CB62" s="154"/>
      <c r="CE62" s="154"/>
      <c r="CG62" s="218"/>
      <c r="CH62" s="154" t="s">
        <v>124</v>
      </c>
      <c r="CI62" s="158">
        <v>0.4402162</v>
      </c>
      <c r="CJ62" s="153" t="e">
        <f t="shared" si="16"/>
        <v>#N/A</v>
      </c>
      <c r="CK62" s="153" t="s">
        <v>86</v>
      </c>
      <c r="CL62" s="158">
        <v>4.9405699999999997E-2</v>
      </c>
      <c r="CM62" s="153" t="str">
        <f t="shared" si="17"/>
        <v>Philippines</v>
      </c>
      <c r="CN62" s="154"/>
      <c r="CO62" s="209" t="s">
        <v>71</v>
      </c>
      <c r="CP62" s="157">
        <v>3.3063700000000001E-2</v>
      </c>
      <c r="CQ62" s="210"/>
      <c r="CR62" s="209" t="s">
        <v>105</v>
      </c>
      <c r="CS62" s="158">
        <v>0.38617010000000002</v>
      </c>
      <c r="CT62" s="154"/>
    </row>
    <row r="63" spans="6:98">
      <c r="F63" s="421">
        <v>42063</v>
      </c>
      <c r="G63" s="272">
        <f>BMG!F63</f>
        <v>-3.9697999999999999E-3</v>
      </c>
      <c r="H63" s="272" t="e">
        <f>IF('Carbon Risk Factor BMG'!$G$10="yes",AVERAGE(AC!$G27:$G62),NA())</f>
        <v>#N/A</v>
      </c>
      <c r="I63" s="272" t="e">
        <f>IF('Carbon Risk Factor BMG'!$G$11="yes",MIN(AC!$G27:$G62),NA())</f>
        <v>#N/A</v>
      </c>
      <c r="J63" s="272" t="e">
        <f>IF('Carbon Risk Factor BMG'!$G$12="yes",MAX(AC!$G27:$G62),NA())</f>
        <v>#N/A</v>
      </c>
      <c r="K63" s="272" t="e">
        <f>IF('Carbon Risk Factor BMG'!$G$13="yes",_xlfn.STDEV.S(AC!$G27:$G62),NA())</f>
        <v>#N/A</v>
      </c>
      <c r="L63" s="272" t="e">
        <f>IF('Carbon Risk Factor BMG'!$G$14="yes",_xlfn.PERCENTILE.INC(AC!$G27:$G62,'Carbon Risk Factor BMG'!$H$14),NA())</f>
        <v>#N/A</v>
      </c>
      <c r="M63" s="272" t="e">
        <f>IF('Carbon Risk Factor BMG'!$G$15="yes",_xlfn.PERCENTILE.INC(AC!$G27:$G62,'Carbon Risk Factor BMG'!$H$15),NA())</f>
        <v>#N/A</v>
      </c>
      <c r="N63" s="272">
        <f t="shared" si="25"/>
        <v>-0.18597410572370199</v>
      </c>
      <c r="O63" s="272"/>
      <c r="P63" s="421">
        <v>42063</v>
      </c>
      <c r="Q63" s="154">
        <f>HLOOKUP(Q$1,'Asset Returns'!$F$1:$N$109,ROW(),0)</f>
        <v>-1.5022198669612408E-2</v>
      </c>
      <c r="R63" s="154">
        <f>HLOOKUP(R$1,'Asset Returns'!$F$1:$N$109,ROW(),0)</f>
        <v>3.6323152482509613E-2</v>
      </c>
      <c r="S63" s="154">
        <f>HLOOKUP(S$1,'Asset Returns'!$F$1:$N$109,ROW(),0)</f>
        <v>0.1024782806634903</v>
      </c>
      <c r="T63" s="154">
        <f>HLOOKUP(T$1,'Asset Returns'!$F$1:$N$109,ROW(),0)</f>
        <v>6.3705168664455414E-2</v>
      </c>
      <c r="U63" s="154">
        <f>HLOOKUP(U$1,'Asset Returns'!$F$1:$N$109,ROW(),0)</f>
        <v>0.12790532410144806</v>
      </c>
      <c r="V63" s="273">
        <f>IF(IF(Equity!$J$10="no",AA63,AF63)=0,NA(),IF(Equity!$J$10="no",AA63,AF63))</f>
        <v>0.9095556994069629</v>
      </c>
      <c r="W63" s="273">
        <f>IF(IF(Equity!$J$10="no",AB63,AG63)=0,NA(),IF(Equity!$J$10="no",AB63,AG63))</f>
        <v>-0.84106224554247555</v>
      </c>
      <c r="X63" s="273">
        <f>IF(IF(Equity!$J$10="no",AC63,AH63)=0,NA(),IF(Equity!$J$10="no",AC63,AH63))</f>
        <v>1.1733908849794448</v>
      </c>
      <c r="Y63" s="273">
        <f>IF(IF(Equity!$J$10="no",AD63,AI63)=0,NA(),IF(Equity!$J$10="no",AD63,AI63))</f>
        <v>-4.5604083856719956E-2</v>
      </c>
      <c r="Z63" s="273">
        <f>IF(IF(Equity!$J$10="no",AE63,AJ63)=0,NA(),IF(Equity!$J$10="no",AE63,AJ63))</f>
        <v>0.11006723868499009</v>
      </c>
      <c r="AA63" s="274">
        <f ca="1">Equity!$R$34</f>
        <v>0.64097224418739052</v>
      </c>
      <c r="AB63" s="274">
        <f ca="1">Equity!$R$36</f>
        <v>-0.78557102570241866</v>
      </c>
      <c r="AC63" s="274">
        <f ca="1">Equity!$R$38</f>
        <v>0.9378377404978776</v>
      </c>
      <c r="AD63" s="274">
        <f ca="1">Equity!$R$40</f>
        <v>0.17519882647973573</v>
      </c>
      <c r="AE63" s="274">
        <f ca="1">Equity!$R$42</f>
        <v>7.3760094442444454E-2</v>
      </c>
      <c r="AF63" s="274">
        <f>INDEX(LINEST(Q4:Q63,'AC2'!$F4:$J63,1,1),1,1)</f>
        <v>0.9095556994069629</v>
      </c>
      <c r="AG63" s="274">
        <f>INDEX(LINEST(R4:R63,'AC2'!$F4:$J63,1,1),1,1)</f>
        <v>-0.84106224554247555</v>
      </c>
      <c r="AH63" s="274">
        <f>INDEX(LINEST(S4:S63,'AC2'!$F4:$J63,1,1),1,1)</f>
        <v>1.1733908849794448</v>
      </c>
      <c r="AI63" s="274">
        <f>INDEX(LINEST(T4:T63,'AC2'!$F4:$J63,1,1),1,1)</f>
        <v>-4.5604083856719956E-2</v>
      </c>
      <c r="AJ63" s="274">
        <f>INDEX(LINEST(U4:U63,'AC2'!$F4:$J63,1,1),1,1)</f>
        <v>0.11006723868499009</v>
      </c>
      <c r="AK63" s="274"/>
      <c r="AL63" s="421">
        <v>42063</v>
      </c>
      <c r="AM63" s="154">
        <f>HLOOKUP(AM$1,'Asset Returns'!$F$1:$ZS$109,ROW(),0)</f>
        <v>-2.3133395249925415E-2</v>
      </c>
      <c r="AN63" s="154">
        <f>HLOOKUP(AN$1,'Asset Returns'!$F$1:$ZS$109,ROW(),0)</f>
        <v>-4.1487092232883938E-2</v>
      </c>
      <c r="AO63" s="273">
        <f ca="1">IF(IF(Bonds!$J$10="no",AQ63,AS63)=0,NA(),IF(Bonds!$J$10="no",AQ63,AS63))</f>
        <v>-0.12498736259259137</v>
      </c>
      <c r="AP63" s="273">
        <f ca="1">IF(IF(Bonds!$J$10="no",AR63,AT63)=0,NA(),IF(Bonds!$J$10="no",AR63,AT63))</f>
        <v>0.19970923689173462</v>
      </c>
      <c r="AQ63" s="273">
        <f ca="1">Bonds!$P$32</f>
        <v>-0.12498736259259137</v>
      </c>
      <c r="AR63" s="273">
        <f ca="1">Bonds!$P$34</f>
        <v>0.19970923689173462</v>
      </c>
      <c r="AS63" s="274">
        <f>INDEX(LINEST(AM4:AM63,'AC2'!$F4:$J63,1,1),1,1)</f>
        <v>0.13331686896003367</v>
      </c>
      <c r="AT63" s="274">
        <f>INDEX(LINEST(AN4:AN63,'AC2'!$F4:$J63,1,1),1,1)</f>
        <v>0.50524975999282673</v>
      </c>
      <c r="AU63" s="274"/>
      <c r="AV63" s="421">
        <v>42063</v>
      </c>
      <c r="AW63" s="154">
        <f>HLOOKUP(AW$1,'Asset Returns'!$F$1:$ZS$109,ROW(),0)</f>
        <v>-3.1434199999999995E-2</v>
      </c>
      <c r="AX63" s="154">
        <f>HLOOKUP(AX$1,'Asset Returns'!$F$1:$ZS$109,ROW(),0)</f>
        <v>5.8359699999999994E-2</v>
      </c>
      <c r="AY63" s="154">
        <f>HLOOKUP(AY$1,'Asset Returns'!$F$1:$ZS$109,ROW(),0)</f>
        <v>5.7304859999999999E-2</v>
      </c>
      <c r="AZ63" s="154">
        <f>HLOOKUP(AZ$1,'Asset Returns'!$F$1:$ZS$109,ROW(),0)</f>
        <v>5.3074589999999998E-2</v>
      </c>
      <c r="BA63" s="154">
        <f>HLOOKUP(BA$1,'Asset Returns'!$F$1:$ZS$109,ROW(),0)</f>
        <v>-9.7794000000000006E-2</v>
      </c>
      <c r="BB63" s="273">
        <f>IF(IF(Funds!$J$10="no",BG63,BL63)=0,NA(),IF(Funds!$J$10="no",BG63,BL63))</f>
        <v>1.8702419571994513</v>
      </c>
      <c r="BC63" s="273">
        <f>IF(IF(Funds!$J$10="no",BH63,BM63)=0,NA(),IF(Funds!$J$10="no",BH63,BM63))</f>
        <v>1.9277548936337072E-2</v>
      </c>
      <c r="BD63" s="273">
        <f>IF(IF(Funds!$J$10="no",BI63,BN63)=0,NA(),IF(Funds!$J$10="no",BI63,BN63))</f>
        <v>-0.14917048326448604</v>
      </c>
      <c r="BE63" s="273">
        <f>IF(IF(Funds!$J$10="no",BJ63,BO63)=0,NA(),IF(Funds!$J$10="no",BJ63,BO63))</f>
        <v>-0.24731647007205892</v>
      </c>
      <c r="BF63" s="273">
        <f>IF(IF(Funds!$J$10="no",BK63,BP63)=0,NA(),IF(Funds!$J$10="no",BK63,BP63))</f>
        <v>-2.1049355323447703</v>
      </c>
      <c r="BG63" s="274">
        <f ca="1">Funds!$R$34</f>
        <v>2.5919346055080732</v>
      </c>
      <c r="BH63" s="274">
        <f ca="1">Funds!$R$36</f>
        <v>1.3378677483181089E-2</v>
      </c>
      <c r="BI63" s="274">
        <f ca="1">Funds!$R$38</f>
        <v>-0.15972963753204919</v>
      </c>
      <c r="BJ63" s="274">
        <f ca="1">Funds!$R$40</f>
        <v>-0.16887551350866659</v>
      </c>
      <c r="BK63" s="274">
        <f ca="1">Funds!$R$42</f>
        <v>-1.9222891726906419</v>
      </c>
      <c r="BL63" s="274">
        <f>INDEX(LINEST(AW4:AW63,'AC2'!$F4:$J63,1,1),1,1)</f>
        <v>1.8702419571994513</v>
      </c>
      <c r="BM63" s="274">
        <f>INDEX(LINEST(AX4:AX63,'AC2'!$F4:$J63,1,1),1,1)</f>
        <v>1.9277548936337072E-2</v>
      </c>
      <c r="BN63" s="274">
        <f>INDEX(LINEST(AY4:AY63,'AC2'!$F4:$J63,1,1),1,1)</f>
        <v>-0.14917048326448604</v>
      </c>
      <c r="BO63" s="274">
        <f>INDEX(LINEST(AZ4:AZ63,'AC2'!$F4:$J63,1,1),1,1)</f>
        <v>-0.24731647007205892</v>
      </c>
      <c r="BP63" s="274">
        <f>INDEX(LINEST(BA4:BA63,'AC2'!$F4:$J63,1,1),1,1)</f>
        <v>-2.1049355323447703</v>
      </c>
      <c r="BR63" s="154" t="s">
        <v>91</v>
      </c>
      <c r="BS63" s="158">
        <v>-0.38517370000000001</v>
      </c>
      <c r="BT63" s="154"/>
      <c r="BU63" s="154"/>
      <c r="BX63" s="154"/>
      <c r="BZ63" s="154"/>
      <c r="CA63" s="154"/>
      <c r="CB63" s="154"/>
      <c r="CE63" s="154"/>
      <c r="CG63" s="218"/>
      <c r="CH63" s="154" t="s">
        <v>90</v>
      </c>
      <c r="CI63" s="158">
        <v>-1.66316E-2</v>
      </c>
      <c r="CJ63" s="153" t="str">
        <f t="shared" si="16"/>
        <v>Qatar</v>
      </c>
      <c r="CK63" s="153" t="s">
        <v>88</v>
      </c>
      <c r="CL63" s="158">
        <v>-0.32940049999999998</v>
      </c>
      <c r="CM63" s="153" t="str">
        <f t="shared" si="17"/>
        <v>Poland</v>
      </c>
      <c r="CN63" s="154"/>
      <c r="CO63" s="209" t="s">
        <v>95</v>
      </c>
      <c r="CP63" s="157">
        <v>-0.55424770000000001</v>
      </c>
      <c r="CQ63" s="210"/>
      <c r="CR63" s="209" t="s">
        <v>68</v>
      </c>
      <c r="CS63" s="158">
        <v>3.5108599999999997E-2</v>
      </c>
      <c r="CT63" s="154"/>
    </row>
    <row r="64" spans="6:98">
      <c r="F64" s="421">
        <v>42094</v>
      </c>
      <c r="G64" s="272">
        <f>BMG!F64</f>
        <v>-2.2210199999999999E-2</v>
      </c>
      <c r="H64" s="272" t="e">
        <f>IF('Carbon Risk Factor BMG'!$G$10="yes",AVERAGE(AC!$G28:$G63),NA())</f>
        <v>#N/A</v>
      </c>
      <c r="I64" s="272" t="e">
        <f>IF('Carbon Risk Factor BMG'!$G$11="yes",MIN(AC!$G28:$G63),NA())</f>
        <v>#N/A</v>
      </c>
      <c r="J64" s="272" t="e">
        <f>IF('Carbon Risk Factor BMG'!$G$12="yes",MAX(AC!$G28:$G63),NA())</f>
        <v>#N/A</v>
      </c>
      <c r="K64" s="272" t="e">
        <f>IF('Carbon Risk Factor BMG'!$G$13="yes",_xlfn.STDEV.S(AC!$G28:$G63),NA())</f>
        <v>#N/A</v>
      </c>
      <c r="L64" s="272" t="e">
        <f>IF('Carbon Risk Factor BMG'!$G$14="yes",_xlfn.PERCENTILE.INC(AC!$G28:$G63,'Carbon Risk Factor BMG'!$H$14),NA())</f>
        <v>#N/A</v>
      </c>
      <c r="M64" s="272" t="e">
        <f>IF('Carbon Risk Factor BMG'!$G$15="yes",_xlfn.PERCENTILE.INC(AC!$G28:$G63,'Carbon Risk Factor BMG'!$H$15),NA())</f>
        <v>#N/A</v>
      </c>
      <c r="N64" s="272">
        <f t="shared" si="25"/>
        <v>-0.20405378364075744</v>
      </c>
      <c r="O64" s="272"/>
      <c r="P64" s="421">
        <v>42094</v>
      </c>
      <c r="Q64" s="154">
        <f>HLOOKUP(Q$1,'Asset Returns'!$F$1:$N$109,ROW(),0)</f>
        <v>-5.5246051400899887E-2</v>
      </c>
      <c r="R64" s="154">
        <f>HLOOKUP(R$1,'Asset Returns'!$F$1:$N$109,ROW(),0)</f>
        <v>5.1668319851160049E-2</v>
      </c>
      <c r="S64" s="154">
        <f>HLOOKUP(S$1,'Asset Returns'!$F$1:$N$109,ROW(),0)</f>
        <v>-6.3746899366378784E-2</v>
      </c>
      <c r="T64" s="154">
        <f>HLOOKUP(T$1,'Asset Returns'!$F$1:$N$109,ROW(),0)</f>
        <v>-8.8921841233968735E-3</v>
      </c>
      <c r="U64" s="154">
        <f>HLOOKUP(U$1,'Asset Returns'!$F$1:$N$109,ROW(),0)</f>
        <v>-6.5233878791332245E-2</v>
      </c>
      <c r="V64" s="273">
        <f>IF(IF(Equity!$J$10="no",AA64,AF64)=0,NA(),IF(Equity!$J$10="no",AA64,AF64))</f>
        <v>0.92911211113826297</v>
      </c>
      <c r="W64" s="273">
        <f>IF(IF(Equity!$J$10="no",AB64,AG64)=0,NA(),IF(Equity!$J$10="no",AB64,AG64))</f>
        <v>-0.89544584407682049</v>
      </c>
      <c r="X64" s="273">
        <f>IF(IF(Equity!$J$10="no",AC64,AH64)=0,NA(),IF(Equity!$J$10="no",AC64,AH64))</f>
        <v>1.1951919014636951</v>
      </c>
      <c r="Y64" s="273">
        <f>IF(IF(Equity!$J$10="no",AD64,AI64)=0,NA(),IF(Equity!$J$10="no",AD64,AI64))</f>
        <v>-2.8509642836768885E-2</v>
      </c>
      <c r="Z64" s="273">
        <f>IF(IF(Equity!$J$10="no",AE64,AJ64)=0,NA(),IF(Equity!$J$10="no",AE64,AJ64))</f>
        <v>0.20810607076874291</v>
      </c>
      <c r="AA64" s="274">
        <f ca="1">Equity!$R$34</f>
        <v>0.64097224418739052</v>
      </c>
      <c r="AB64" s="274">
        <f ca="1">Equity!$R$36</f>
        <v>-0.78557102570241866</v>
      </c>
      <c r="AC64" s="274">
        <f ca="1">Equity!$R$38</f>
        <v>0.9378377404978776</v>
      </c>
      <c r="AD64" s="274">
        <f ca="1">Equity!$R$40</f>
        <v>0.17519882647973573</v>
      </c>
      <c r="AE64" s="274">
        <f ca="1">Equity!$R$42</f>
        <v>7.3760094442444454E-2</v>
      </c>
      <c r="AF64" s="274">
        <f>INDEX(LINEST(Q5:Q64,'AC2'!$F5:$J64,1,1),1,1)</f>
        <v>0.92911211113826297</v>
      </c>
      <c r="AG64" s="274">
        <f>INDEX(LINEST(R5:R64,'AC2'!$F5:$J64,1,1),1,1)</f>
        <v>-0.89544584407682049</v>
      </c>
      <c r="AH64" s="274">
        <f>INDEX(LINEST(S5:S64,'AC2'!$F5:$J64,1,1),1,1)</f>
        <v>1.1951919014636951</v>
      </c>
      <c r="AI64" s="274">
        <f>INDEX(LINEST(T5:T64,'AC2'!$F5:$J64,1,1),1,1)</f>
        <v>-2.8509642836768885E-2</v>
      </c>
      <c r="AJ64" s="274">
        <f>INDEX(LINEST(U5:U64,'AC2'!$F5:$J64,1,1),1,1)</f>
        <v>0.20810607076874291</v>
      </c>
      <c r="AK64" s="274"/>
      <c r="AL64" s="421">
        <v>42094</v>
      </c>
      <c r="AM64" s="154">
        <f>HLOOKUP(AM$1,'Asset Returns'!$F$1:$ZS$109,ROW(),0)</f>
        <v>8.3383166141464127E-3</v>
      </c>
      <c r="AN64" s="154">
        <f>HLOOKUP(AN$1,'Asset Returns'!$F$1:$ZS$109,ROW(),0)</f>
        <v>-1.2506814321563975E-2</v>
      </c>
      <c r="AO64" s="273">
        <f ca="1">IF(IF(Bonds!$J$10="no",AQ64,AS64)=0,NA(),IF(Bonds!$J$10="no",AQ64,AS64))</f>
        <v>-0.12498736259259137</v>
      </c>
      <c r="AP64" s="273">
        <f ca="1">IF(IF(Bonds!$J$10="no",AR64,AT64)=0,NA(),IF(Bonds!$J$10="no",AR64,AT64))</f>
        <v>0.19970923689173462</v>
      </c>
      <c r="AQ64" s="273">
        <f ca="1">Bonds!$P$32</f>
        <v>-0.12498736259259137</v>
      </c>
      <c r="AR64" s="273">
        <f ca="1">Bonds!$P$34</f>
        <v>0.19970923689173462</v>
      </c>
      <c r="AS64" s="274">
        <f>INDEX(LINEST(AM5:AM64,'AC2'!$F5:$J64,1,1),1,1)</f>
        <v>0.13572158977362789</v>
      </c>
      <c r="AT64" s="274">
        <f>INDEX(LINEST(AN5:AN64,'AC2'!$F5:$J64,1,1),1,1)</f>
        <v>0.51060184693212241</v>
      </c>
      <c r="AU64" s="274"/>
      <c r="AV64" s="421">
        <v>42094</v>
      </c>
      <c r="AW64" s="154">
        <f>HLOOKUP(AW$1,'Asset Returns'!$F$1:$ZS$109,ROW(),0)</f>
        <v>-0.10141989999999999</v>
      </c>
      <c r="AX64" s="154">
        <f>HLOOKUP(AX$1,'Asset Returns'!$F$1:$ZS$109,ROW(),0)</f>
        <v>-1.5921100000000001E-2</v>
      </c>
      <c r="AY64" s="154">
        <f>HLOOKUP(AY$1,'Asset Returns'!$F$1:$ZS$109,ROW(),0)</f>
        <v>-1.333237E-2</v>
      </c>
      <c r="AZ64" s="154">
        <f>HLOOKUP(AZ$1,'Asset Returns'!$F$1:$ZS$109,ROW(),0)</f>
        <v>-1.070371E-2</v>
      </c>
      <c r="BA64" s="154">
        <f>HLOOKUP(BA$1,'Asset Returns'!$F$1:$ZS$109,ROW(),0)</f>
        <v>2.7339199999999998E-2</v>
      </c>
      <c r="BB64" s="273">
        <f>IF(IF(Funds!$J$10="no",BG64,BL64)=0,NA(),IF(Funds!$J$10="no",BG64,BL64))</f>
        <v>1.9190493216516256</v>
      </c>
      <c r="BC64" s="273">
        <f>IF(IF(Funds!$J$10="no",BH64,BM64)=0,NA(),IF(Funds!$J$10="no",BH64,BM64))</f>
        <v>2.1465010990359953E-2</v>
      </c>
      <c r="BD64" s="273">
        <f>IF(IF(Funds!$J$10="no",BI64,BN64)=0,NA(),IF(Funds!$J$10="no",BI64,BN64))</f>
        <v>-0.16393854568158794</v>
      </c>
      <c r="BE64" s="273">
        <f>IF(IF(Funds!$J$10="no",BJ64,BO64)=0,NA(),IF(Funds!$J$10="no",BJ64,BO64))</f>
        <v>-0.25303394803582896</v>
      </c>
      <c r="BF64" s="273">
        <f>IF(IF(Funds!$J$10="no",BK64,BP64)=0,NA(),IF(Funds!$J$10="no",BK64,BP64))</f>
        <v>-2.1403123300987166</v>
      </c>
      <c r="BG64" s="274">
        <f ca="1">Funds!$R$34</f>
        <v>2.5919346055080732</v>
      </c>
      <c r="BH64" s="274">
        <f ca="1">Funds!$R$36</f>
        <v>1.3378677483181089E-2</v>
      </c>
      <c r="BI64" s="274">
        <f ca="1">Funds!$R$38</f>
        <v>-0.15972963753204919</v>
      </c>
      <c r="BJ64" s="274">
        <f ca="1">Funds!$R$40</f>
        <v>-0.16887551350866659</v>
      </c>
      <c r="BK64" s="274">
        <f ca="1">Funds!$R$42</f>
        <v>-1.9222891726906419</v>
      </c>
      <c r="BL64" s="274">
        <f>INDEX(LINEST(AW5:AW64,'AC2'!$F5:$J64,1,1),1,1)</f>
        <v>1.9190493216516256</v>
      </c>
      <c r="BM64" s="274">
        <f>INDEX(LINEST(AX5:AX64,'AC2'!$F5:$J64,1,1),1,1)</f>
        <v>2.1465010990359953E-2</v>
      </c>
      <c r="BN64" s="274">
        <f>INDEX(LINEST(AY5:AY64,'AC2'!$F5:$J64,1,1),1,1)</f>
        <v>-0.16393854568158794</v>
      </c>
      <c r="BO64" s="274">
        <f>INDEX(LINEST(AZ5:AZ64,'AC2'!$F5:$J64,1,1),1,1)</f>
        <v>-0.25303394803582896</v>
      </c>
      <c r="BP64" s="274">
        <f>INDEX(LINEST(BA5:BA64,'AC2'!$F5:$J64,1,1),1,1)</f>
        <v>-2.1403123300987166</v>
      </c>
      <c r="BR64" s="154" t="s">
        <v>92</v>
      </c>
      <c r="BS64" s="158">
        <v>-0.1790736</v>
      </c>
      <c r="BT64" s="154"/>
      <c r="BU64" s="154"/>
      <c r="BX64" s="154"/>
      <c r="BZ64" s="154"/>
      <c r="CA64" s="154"/>
      <c r="CB64" s="154"/>
      <c r="CE64" s="154"/>
      <c r="CG64" s="218"/>
      <c r="CH64" s="154" t="s">
        <v>91</v>
      </c>
      <c r="CI64" s="158">
        <v>-0.48324709999999998</v>
      </c>
      <c r="CJ64" s="153" t="str">
        <f t="shared" si="16"/>
        <v>Romania</v>
      </c>
      <c r="CK64" s="153" t="s">
        <v>89</v>
      </c>
      <c r="CL64" s="158">
        <v>-0.63952679999999995</v>
      </c>
      <c r="CM64" s="153" t="str">
        <f t="shared" si="17"/>
        <v>Portugal</v>
      </c>
      <c r="CN64" s="154"/>
      <c r="CO64" s="209" t="s">
        <v>40</v>
      </c>
      <c r="CP64" s="157">
        <v>-0.35710449999999999</v>
      </c>
      <c r="CQ64" s="210"/>
      <c r="CR64" s="209" t="s">
        <v>51</v>
      </c>
      <c r="CS64" s="158">
        <v>-0.8180963</v>
      </c>
      <c r="CT64" s="154"/>
    </row>
    <row r="65" spans="6:98">
      <c r="F65" s="421">
        <v>42124</v>
      </c>
      <c r="G65" s="272">
        <f>BMG!F65</f>
        <v>3.66796E-2</v>
      </c>
      <c r="H65" s="272" t="e">
        <f>IF('Carbon Risk Factor BMG'!$G$10="yes",AVERAGE(AC!$G29:$G64),NA())</f>
        <v>#N/A</v>
      </c>
      <c r="I65" s="272" t="e">
        <f>IF('Carbon Risk Factor BMG'!$G$11="yes",MIN(AC!$G29:$G64),NA())</f>
        <v>#N/A</v>
      </c>
      <c r="J65" s="272" t="e">
        <f>IF('Carbon Risk Factor BMG'!$G$12="yes",MAX(AC!$G29:$G64),NA())</f>
        <v>#N/A</v>
      </c>
      <c r="K65" s="272" t="e">
        <f>IF('Carbon Risk Factor BMG'!$G$13="yes",_xlfn.STDEV.S(AC!$G29:$G64),NA())</f>
        <v>#N/A</v>
      </c>
      <c r="L65" s="272" t="e">
        <f>IF('Carbon Risk Factor BMG'!$G$14="yes",_xlfn.PERCENTILE.INC(AC!$G29:$G64,'Carbon Risk Factor BMG'!$H$14),NA())</f>
        <v>#N/A</v>
      </c>
      <c r="M65" s="272" t="e">
        <f>IF('Carbon Risk Factor BMG'!$G$15="yes",_xlfn.PERCENTILE.INC(AC!$G29:$G64,'Carbon Risk Factor BMG'!$H$15),NA())</f>
        <v>#N/A</v>
      </c>
      <c r="N65" s="272">
        <f t="shared" si="25"/>
        <v>-0.17485879480318689</v>
      </c>
      <c r="O65" s="272"/>
      <c r="P65" s="421">
        <v>42124</v>
      </c>
      <c r="Q65" s="154">
        <f>HLOOKUP(Q$1,'Asset Returns'!$F$1:$N$109,ROW(),0)</f>
        <v>-8.0062888562679291E-2</v>
      </c>
      <c r="R65" s="154">
        <f>HLOOKUP(R$1,'Asset Returns'!$F$1:$N$109,ROW(),0)</f>
        <v>-8.5619848687201738E-4</v>
      </c>
      <c r="S65" s="154">
        <f>HLOOKUP(S$1,'Asset Returns'!$F$1:$N$109,ROW(),0)</f>
        <v>0.11438260227441788</v>
      </c>
      <c r="T65" s="154">
        <f>HLOOKUP(T$1,'Asset Returns'!$F$1:$N$109,ROW(),0)</f>
        <v>6.7227408289909363E-2</v>
      </c>
      <c r="U65" s="154">
        <f>HLOOKUP(U$1,'Asset Returns'!$F$1:$N$109,ROW(),0)</f>
        <v>2.8671896085143089E-2</v>
      </c>
      <c r="V65" s="273">
        <f>IF(IF(Equity!$J$10="no",AA65,AF65)=0,NA(),IF(Equity!$J$10="no",AA65,AF65))</f>
        <v>0.68405868614639997</v>
      </c>
      <c r="W65" s="273">
        <f>IF(IF(Equity!$J$10="no",AB65,AG65)=0,NA(),IF(Equity!$J$10="no",AB65,AG65))</f>
        <v>-0.93019628861462544</v>
      </c>
      <c r="X65" s="273">
        <f>IF(IF(Equity!$J$10="no",AC65,AH65)=0,NA(),IF(Equity!$J$10="no",AC65,AH65))</f>
        <v>1.2402990551861761</v>
      </c>
      <c r="Y65" s="273">
        <f>IF(IF(Equity!$J$10="no",AD65,AI65)=0,NA(),IF(Equity!$J$10="no",AD65,AI65))</f>
        <v>3.5369194157389969E-2</v>
      </c>
      <c r="Z65" s="273">
        <f>IF(IF(Equity!$J$10="no",AE65,AJ65)=0,NA(),IF(Equity!$J$10="no",AE65,AJ65))</f>
        <v>0.15254649714032234</v>
      </c>
      <c r="AA65" s="274">
        <f ca="1">Equity!$R$34</f>
        <v>0.64097224418739052</v>
      </c>
      <c r="AB65" s="274">
        <f ca="1">Equity!$R$36</f>
        <v>-0.78557102570241866</v>
      </c>
      <c r="AC65" s="274">
        <f ca="1">Equity!$R$38</f>
        <v>0.9378377404978776</v>
      </c>
      <c r="AD65" s="274">
        <f ca="1">Equity!$R$40</f>
        <v>0.17519882647973573</v>
      </c>
      <c r="AE65" s="274">
        <f ca="1">Equity!$R$42</f>
        <v>7.3760094442444454E-2</v>
      </c>
      <c r="AF65" s="274">
        <f>INDEX(LINEST(Q6:Q65,'AC2'!$F6:$J65,1,1),1,1)</f>
        <v>0.68405868614639997</v>
      </c>
      <c r="AG65" s="274">
        <f>INDEX(LINEST(R6:R65,'AC2'!$F6:$J65,1,1),1,1)</f>
        <v>-0.93019628861462544</v>
      </c>
      <c r="AH65" s="274">
        <f>INDEX(LINEST(S6:S65,'AC2'!$F6:$J65,1,1),1,1)</f>
        <v>1.2402990551861761</v>
      </c>
      <c r="AI65" s="274">
        <f>INDEX(LINEST(T6:T65,'AC2'!$F6:$J65,1,1),1,1)</f>
        <v>3.5369194157389969E-2</v>
      </c>
      <c r="AJ65" s="274">
        <f>INDEX(LINEST(U6:U65,'AC2'!$F6:$J65,1,1),1,1)</f>
        <v>0.15254649714032234</v>
      </c>
      <c r="AK65" s="274"/>
      <c r="AL65" s="421">
        <v>42124</v>
      </c>
      <c r="AM65" s="154">
        <f>HLOOKUP(AM$1,'Asset Returns'!$F$1:$ZS$109,ROW(),0)</f>
        <v>-5.4040727117650178E-3</v>
      </c>
      <c r="AN65" s="154">
        <f>HLOOKUP(AN$1,'Asset Returns'!$F$1:$ZS$109,ROW(),0)</f>
        <v>-1.7889161111947494E-2</v>
      </c>
      <c r="AO65" s="273">
        <f ca="1">IF(IF(Bonds!$J$10="no",AQ65,AS65)=0,NA(),IF(Bonds!$J$10="no",AQ65,AS65))</f>
        <v>-0.12498736259259137</v>
      </c>
      <c r="AP65" s="273">
        <f ca="1">IF(IF(Bonds!$J$10="no",AR65,AT65)=0,NA(),IF(Bonds!$J$10="no",AR65,AT65))</f>
        <v>0.19970923689173462</v>
      </c>
      <c r="AQ65" s="273">
        <f ca="1">Bonds!$P$32</f>
        <v>-0.12498736259259137</v>
      </c>
      <c r="AR65" s="273">
        <f ca="1">Bonds!$P$34</f>
        <v>0.19970923689173462</v>
      </c>
      <c r="AS65" s="274">
        <f>INDEX(LINEST(AM6:AM65,'AC2'!$F6:$J65,1,1),1,1)</f>
        <v>0.14035391016555218</v>
      </c>
      <c r="AT65" s="274">
        <f>INDEX(LINEST(AN6:AN65,'AC2'!$F6:$J65,1,1),1,1)</f>
        <v>0.50553386069691508</v>
      </c>
      <c r="AU65" s="274"/>
      <c r="AV65" s="421">
        <v>42124</v>
      </c>
      <c r="AW65" s="154">
        <f>HLOOKUP(AW$1,'Asset Returns'!$F$1:$ZS$109,ROW(),0)</f>
        <v>9.7065499999999999E-2</v>
      </c>
      <c r="AX65" s="154">
        <f>HLOOKUP(AX$1,'Asset Returns'!$F$1:$ZS$109,ROW(),0)</f>
        <v>2.3283900000000003E-2</v>
      </c>
      <c r="AY65" s="154">
        <f>HLOOKUP(AY$1,'Asset Returns'!$F$1:$ZS$109,ROW(),0)</f>
        <v>3.6649569999999999E-2</v>
      </c>
      <c r="AZ65" s="154">
        <f>HLOOKUP(AZ$1,'Asset Returns'!$F$1:$ZS$109,ROW(),0)</f>
        <v>1.8624780000000001E-2</v>
      </c>
      <c r="BA65" s="154">
        <f>HLOOKUP(BA$1,'Asset Returns'!$F$1:$ZS$109,ROW(),0)</f>
        <v>-0.1330585</v>
      </c>
      <c r="BB65" s="273">
        <f>IF(IF(Funds!$J$10="no",BG65,BL65)=0,NA(),IF(Funds!$J$10="no",BG65,BL65))</f>
        <v>1.9590217670649979</v>
      </c>
      <c r="BC65" s="273">
        <f>IF(IF(Funds!$J$10="no",BH65,BM65)=0,NA(),IF(Funds!$J$10="no",BH65,BM65))</f>
        <v>2.0282001907465222E-2</v>
      </c>
      <c r="BD65" s="273">
        <f>IF(IF(Funds!$J$10="no",BI65,BN65)=0,NA(),IF(Funds!$J$10="no",BI65,BN65))</f>
        <v>-0.14976112320458479</v>
      </c>
      <c r="BE65" s="273">
        <f>IF(IF(Funds!$J$10="no",BJ65,BO65)=0,NA(),IF(Funds!$J$10="no",BJ65,BO65))</f>
        <v>-0.24736743369128417</v>
      </c>
      <c r="BF65" s="273">
        <f>IF(IF(Funds!$J$10="no",BK65,BP65)=0,NA(),IF(Funds!$J$10="no",BK65,BP65))</f>
        <v>-2.1442133008249051</v>
      </c>
      <c r="BG65" s="274">
        <f ca="1">Funds!$R$34</f>
        <v>2.5919346055080732</v>
      </c>
      <c r="BH65" s="274">
        <f ca="1">Funds!$R$36</f>
        <v>1.3378677483181089E-2</v>
      </c>
      <c r="BI65" s="274">
        <f ca="1">Funds!$R$38</f>
        <v>-0.15972963753204919</v>
      </c>
      <c r="BJ65" s="274">
        <f ca="1">Funds!$R$40</f>
        <v>-0.16887551350866659</v>
      </c>
      <c r="BK65" s="274">
        <f ca="1">Funds!$R$42</f>
        <v>-1.9222891726906419</v>
      </c>
      <c r="BL65" s="274">
        <f>INDEX(LINEST(AW6:AW65,'AC2'!$F6:$J65,1,1),1,1)</f>
        <v>1.9590217670649979</v>
      </c>
      <c r="BM65" s="274">
        <f>INDEX(LINEST(AX6:AX65,'AC2'!$F6:$J65,1,1),1,1)</f>
        <v>2.0282001907465222E-2</v>
      </c>
      <c r="BN65" s="274">
        <f>INDEX(LINEST(AY6:AY65,'AC2'!$F6:$J65,1,1),1,1)</f>
        <v>-0.14976112320458479</v>
      </c>
      <c r="BO65" s="274">
        <f>INDEX(LINEST(AZ6:AZ65,'AC2'!$F6:$J65,1,1),1,1)</f>
        <v>-0.24736743369128417</v>
      </c>
      <c r="BP65" s="274">
        <f>INDEX(LINEST(BA6:BA65,'AC2'!$F6:$J65,1,1),1,1)</f>
        <v>-2.1442133008249051</v>
      </c>
      <c r="BR65" s="154" t="s">
        <v>93</v>
      </c>
      <c r="BS65" s="158">
        <v>0.32548080000000001</v>
      </c>
      <c r="BT65" s="154"/>
      <c r="BU65" s="154"/>
      <c r="BX65" s="154"/>
      <c r="BZ65" s="154"/>
      <c r="CA65" s="154"/>
      <c r="CB65" s="154"/>
      <c r="CE65" s="154"/>
      <c r="CG65" s="218"/>
      <c r="CH65" s="154" t="s">
        <v>93</v>
      </c>
      <c r="CI65" s="158">
        <v>0.33232430000000002</v>
      </c>
      <c r="CJ65" s="153" t="str">
        <f t="shared" si="16"/>
        <v>Russia</v>
      </c>
      <c r="CK65" s="153" t="s">
        <v>124</v>
      </c>
      <c r="CL65" s="158">
        <v>0.30814570000000002</v>
      </c>
      <c r="CM65" s="153" t="e">
        <f t="shared" si="17"/>
        <v>#N/A</v>
      </c>
      <c r="CN65" s="154"/>
      <c r="CO65" s="209" t="s">
        <v>101</v>
      </c>
      <c r="CP65" s="157">
        <v>0.11282440000000001</v>
      </c>
      <c r="CQ65" s="210"/>
      <c r="CR65" s="209" t="s">
        <v>71</v>
      </c>
      <c r="CS65" s="158">
        <v>5.1832099999999999E-2</v>
      </c>
      <c r="CT65" s="154"/>
    </row>
    <row r="66" spans="6:98">
      <c r="F66" s="421">
        <v>42155</v>
      </c>
      <c r="G66" s="272">
        <f>BMG!F66</f>
        <v>-2.8623200000000001E-2</v>
      </c>
      <c r="H66" s="272" t="e">
        <f>IF('Carbon Risk Factor BMG'!$G$10="yes",AVERAGE(AC!$G30:$G65),NA())</f>
        <v>#N/A</v>
      </c>
      <c r="I66" s="272" t="e">
        <f>IF('Carbon Risk Factor BMG'!$G$11="yes",MIN(AC!$G30:$G65),NA())</f>
        <v>#N/A</v>
      </c>
      <c r="J66" s="272" t="e">
        <f>IF('Carbon Risk Factor BMG'!$G$12="yes",MAX(AC!$G30:$G65),NA())</f>
        <v>#N/A</v>
      </c>
      <c r="K66" s="272" t="e">
        <f>IF('Carbon Risk Factor BMG'!$G$13="yes",_xlfn.STDEV.S(AC!$G30:$G65),NA())</f>
        <v>#N/A</v>
      </c>
      <c r="L66" s="272" t="e">
        <f>IF('Carbon Risk Factor BMG'!$G$14="yes",_xlfn.PERCENTILE.INC(AC!$G30:$G65,'Carbon Risk Factor BMG'!$H$14),NA())</f>
        <v>#N/A</v>
      </c>
      <c r="M66" s="272" t="e">
        <f>IF('Carbon Risk Factor BMG'!$G$15="yes",_xlfn.PERCENTILE.INC(AC!$G30:$G65,'Carbon Risk Factor BMG'!$H$15),NA())</f>
        <v>#N/A</v>
      </c>
      <c r="N66" s="272">
        <f t="shared" si="25"/>
        <v>-0.1984769765477763</v>
      </c>
      <c r="O66" s="272"/>
      <c r="P66" s="421">
        <v>42155</v>
      </c>
      <c r="Q66" s="154">
        <f>HLOOKUP(Q$1,'Asset Returns'!$F$1:$N$109,ROW(),0)</f>
        <v>-5.7548318058252335E-2</v>
      </c>
      <c r="R66" s="154">
        <f>HLOOKUP(R$1,'Asset Returns'!$F$1:$N$109,ROW(),0)</f>
        <v>-7.2779450565576553E-3</v>
      </c>
      <c r="S66" s="154">
        <f>HLOOKUP(S$1,'Asset Returns'!$F$1:$N$109,ROW(),0)</f>
        <v>-3.4306231886148453E-2</v>
      </c>
      <c r="T66" s="154">
        <f>HLOOKUP(T$1,'Asset Returns'!$F$1:$N$109,ROW(),0)</f>
        <v>-2.0027831196784973E-3</v>
      </c>
      <c r="U66" s="154">
        <f>HLOOKUP(U$1,'Asset Returns'!$F$1:$N$109,ROW(),0)</f>
        <v>3.983696922659874E-2</v>
      </c>
      <c r="V66" s="273">
        <f>IF(IF(Equity!$J$10="no",AA66,AF66)=0,NA(),IF(Equity!$J$10="no",AA66,AF66))</f>
        <v>0.77101853657068053</v>
      </c>
      <c r="W66" s="273">
        <f>IF(IF(Equity!$J$10="no",AB66,AG66)=0,NA(),IF(Equity!$J$10="no",AB66,AG66))</f>
        <v>-0.87234937981438931</v>
      </c>
      <c r="X66" s="273">
        <f>IF(IF(Equity!$J$10="no",AC66,AH66)=0,NA(),IF(Equity!$J$10="no",AC66,AH66))</f>
        <v>1.2149574997642483</v>
      </c>
      <c r="Y66" s="273">
        <f>IF(IF(Equity!$J$10="no",AD66,AI66)=0,NA(),IF(Equity!$J$10="no",AD66,AI66))</f>
        <v>2.0480715153813184E-2</v>
      </c>
      <c r="Z66" s="273">
        <f>IF(IF(Equity!$J$10="no",AE66,AJ66)=0,NA(),IF(Equity!$J$10="no",AE66,AJ66))</f>
        <v>8.5144605950905325E-2</v>
      </c>
      <c r="AA66" s="274">
        <f ca="1">Equity!$R$34</f>
        <v>0.64097224418739052</v>
      </c>
      <c r="AB66" s="274">
        <f ca="1">Equity!$R$36</f>
        <v>-0.78557102570241866</v>
      </c>
      <c r="AC66" s="274">
        <f ca="1">Equity!$R$38</f>
        <v>0.9378377404978776</v>
      </c>
      <c r="AD66" s="274">
        <f ca="1">Equity!$R$40</f>
        <v>0.17519882647973573</v>
      </c>
      <c r="AE66" s="274">
        <f ca="1">Equity!$R$42</f>
        <v>7.3760094442444454E-2</v>
      </c>
      <c r="AF66" s="274">
        <f>INDEX(LINEST(Q7:Q66,'AC2'!$F7:$J66,1,1),1,1)</f>
        <v>0.77101853657068053</v>
      </c>
      <c r="AG66" s="274">
        <f>INDEX(LINEST(R7:R66,'AC2'!$F7:$J66,1,1),1,1)</f>
        <v>-0.87234937981438931</v>
      </c>
      <c r="AH66" s="274">
        <f>INDEX(LINEST(S7:S66,'AC2'!$F7:$J66,1,1),1,1)</f>
        <v>1.2149574997642483</v>
      </c>
      <c r="AI66" s="274">
        <f>INDEX(LINEST(T7:T66,'AC2'!$F7:$J66,1,1),1,1)</f>
        <v>2.0480715153813184E-2</v>
      </c>
      <c r="AJ66" s="274">
        <f>INDEX(LINEST(U7:U66,'AC2'!$F7:$J66,1,1),1,1)</f>
        <v>8.5144605950905325E-2</v>
      </c>
      <c r="AK66" s="274"/>
      <c r="AL66" s="421">
        <v>42155</v>
      </c>
      <c r="AM66" s="154">
        <f>HLOOKUP(AM$1,'Asset Returns'!$F$1:$ZS$109,ROW(),0)</f>
        <v>-1.116835610105793E-2</v>
      </c>
      <c r="AN66" s="154">
        <f>HLOOKUP(AN$1,'Asset Returns'!$F$1:$ZS$109,ROW(),0)</f>
        <v>-1.479127760589416E-2</v>
      </c>
      <c r="AO66" s="273">
        <f ca="1">IF(IF(Bonds!$J$10="no",AQ66,AS66)=0,NA(),IF(Bonds!$J$10="no",AQ66,AS66))</f>
        <v>-0.12498736259259137</v>
      </c>
      <c r="AP66" s="273">
        <f ca="1">IF(IF(Bonds!$J$10="no",AR66,AT66)=0,NA(),IF(Bonds!$J$10="no",AR66,AT66))</f>
        <v>0.19970923689173462</v>
      </c>
      <c r="AQ66" s="273">
        <f ca="1">Bonds!$P$32</f>
        <v>-0.12498736259259137</v>
      </c>
      <c r="AR66" s="273">
        <f ca="1">Bonds!$P$34</f>
        <v>0.19970923689173462</v>
      </c>
      <c r="AS66" s="274">
        <f>INDEX(LINEST(AM7:AM66,'AC2'!$F7:$J66,1,1),1,1)</f>
        <v>0.1756062209539985</v>
      </c>
      <c r="AT66" s="274">
        <f>INDEX(LINEST(AN7:AN66,'AC2'!$F7:$J66,1,1),1,1)</f>
        <v>0.54533160578132323</v>
      </c>
      <c r="AU66" s="274"/>
      <c r="AV66" s="421">
        <v>42155</v>
      </c>
      <c r="AW66" s="154">
        <f>HLOOKUP(AW$1,'Asset Returns'!$F$1:$ZS$109,ROW(),0)</f>
        <v>-2.05761E-2</v>
      </c>
      <c r="AX66" s="154">
        <f>HLOOKUP(AX$1,'Asset Returns'!$F$1:$ZS$109,ROW(),0)</f>
        <v>3.3911000000000002E-3</v>
      </c>
      <c r="AY66" s="154">
        <f>HLOOKUP(AY$1,'Asset Returns'!$F$1:$ZS$109,ROW(),0)</f>
        <v>5.0107800000000003E-3</v>
      </c>
      <c r="AZ66" s="154">
        <f>HLOOKUP(AZ$1,'Asset Returns'!$F$1:$ZS$109,ROW(),0)</f>
        <v>-6.1946599999999994E-3</v>
      </c>
      <c r="BA66" s="154">
        <f>HLOOKUP(BA$1,'Asset Returns'!$F$1:$ZS$109,ROW(),0)</f>
        <v>0.10138350000000002</v>
      </c>
      <c r="BB66" s="273">
        <f>IF(IF(Funds!$J$10="no",BG66,BL66)=0,NA(),IF(Funds!$J$10="no",BG66,BL66))</f>
        <v>1.9423362429891886</v>
      </c>
      <c r="BC66" s="273">
        <f>IF(IF(Funds!$J$10="no",BH66,BM66)=0,NA(),IF(Funds!$J$10="no",BH66,BM66))</f>
        <v>1.9157384174125301E-2</v>
      </c>
      <c r="BD66" s="273">
        <f>IF(IF(Funds!$J$10="no",BI66,BN66)=0,NA(),IF(Funds!$J$10="no",BI66,BN66))</f>
        <v>-0.15669278435836673</v>
      </c>
      <c r="BE66" s="273">
        <f>IF(IF(Funds!$J$10="no",BJ66,BO66)=0,NA(),IF(Funds!$J$10="no",BJ66,BO66))</f>
        <v>-0.23464485223017756</v>
      </c>
      <c r="BF66" s="273">
        <f>IF(IF(Funds!$J$10="no",BK66,BP66)=0,NA(),IF(Funds!$J$10="no",BK66,BP66))</f>
        <v>-2.2299353033134968</v>
      </c>
      <c r="BG66" s="274">
        <f ca="1">Funds!$R$34</f>
        <v>2.5919346055080732</v>
      </c>
      <c r="BH66" s="274">
        <f ca="1">Funds!$R$36</f>
        <v>1.3378677483181089E-2</v>
      </c>
      <c r="BI66" s="274">
        <f ca="1">Funds!$R$38</f>
        <v>-0.15972963753204919</v>
      </c>
      <c r="BJ66" s="274">
        <f ca="1">Funds!$R$40</f>
        <v>-0.16887551350866659</v>
      </c>
      <c r="BK66" s="274">
        <f ca="1">Funds!$R$42</f>
        <v>-1.9222891726906419</v>
      </c>
      <c r="BL66" s="274">
        <f>INDEX(LINEST(AW7:AW66,'AC2'!$F7:$J66,1,1),1,1)</f>
        <v>1.9423362429891886</v>
      </c>
      <c r="BM66" s="274">
        <f>INDEX(LINEST(AX7:AX66,'AC2'!$F7:$J66,1,1),1,1)</f>
        <v>1.9157384174125301E-2</v>
      </c>
      <c r="BN66" s="274">
        <f>INDEX(LINEST(AY7:AY66,'AC2'!$F7:$J66,1,1),1,1)</f>
        <v>-0.15669278435836673</v>
      </c>
      <c r="BO66" s="274">
        <f>INDEX(LINEST(AZ7:AZ66,'AC2'!$F7:$J66,1,1),1,1)</f>
        <v>-0.23464485223017756</v>
      </c>
      <c r="BP66" s="274">
        <f>INDEX(LINEST(BA7:BA66,'AC2'!$F7:$J66,1,1),1,1)</f>
        <v>-2.2299353033134968</v>
      </c>
      <c r="BR66" s="154" t="s">
        <v>94</v>
      </c>
      <c r="BS66" s="158">
        <v>7.4504399999999998E-2</v>
      </c>
      <c r="BT66" s="154"/>
      <c r="BU66" s="154"/>
      <c r="BX66" s="154"/>
      <c r="BZ66" s="154"/>
      <c r="CA66" s="154"/>
      <c r="CB66" s="154"/>
      <c r="CE66" s="154"/>
      <c r="CG66" s="218"/>
      <c r="CH66" s="154" t="s">
        <v>94</v>
      </c>
      <c r="CI66" s="158">
        <v>0.1660692</v>
      </c>
      <c r="CJ66" s="153" t="str">
        <f t="shared" si="16"/>
        <v>Saudi Arabia</v>
      </c>
      <c r="CK66" s="153" t="s">
        <v>90</v>
      </c>
      <c r="CL66" s="158">
        <v>-2.23871E-2</v>
      </c>
      <c r="CM66" s="153" t="str">
        <f t="shared" si="17"/>
        <v>Qatar</v>
      </c>
      <c r="CN66" s="154"/>
      <c r="CO66" s="209" t="s">
        <v>98</v>
      </c>
      <c r="CP66" s="157">
        <v>0.2149056</v>
      </c>
      <c r="CQ66" s="210"/>
      <c r="CR66" s="209" t="s">
        <v>95</v>
      </c>
      <c r="CS66" s="158">
        <v>-0.45513160000000003</v>
      </c>
      <c r="CT66" s="154"/>
    </row>
    <row r="67" spans="6:98">
      <c r="F67" s="421">
        <v>42185</v>
      </c>
      <c r="G67" s="272">
        <f>BMG!F67</f>
        <v>-1.65697E-2</v>
      </c>
      <c r="H67" s="272" t="e">
        <f>IF('Carbon Risk Factor BMG'!$G$10="yes",AVERAGE(AC!$G31:$G66),NA())</f>
        <v>#N/A</v>
      </c>
      <c r="I67" s="272" t="e">
        <f>IF('Carbon Risk Factor BMG'!$G$11="yes",MIN(AC!$G31:$G66),NA())</f>
        <v>#N/A</v>
      </c>
      <c r="J67" s="272" t="e">
        <f>IF('Carbon Risk Factor BMG'!$G$12="yes",MAX(AC!$G31:$G66),NA())</f>
        <v>#N/A</v>
      </c>
      <c r="K67" s="272" t="e">
        <f>IF('Carbon Risk Factor BMG'!$G$13="yes",_xlfn.STDEV.S(AC!$G31:$G66),NA())</f>
        <v>#N/A</v>
      </c>
      <c r="L67" s="272" t="e">
        <f>IF('Carbon Risk Factor BMG'!$G$14="yes",_xlfn.PERCENTILE.INC(AC!$G31:$G66,'Carbon Risk Factor BMG'!$H$14),NA())</f>
        <v>#N/A</v>
      </c>
      <c r="M67" s="272" t="e">
        <f>IF('Carbon Risk Factor BMG'!$G$15="yes",_xlfn.PERCENTILE.INC(AC!$G31:$G66,'Carbon Risk Factor BMG'!$H$15),NA())</f>
        <v>#N/A</v>
      </c>
      <c r="N67" s="272">
        <f t="shared" ref="N67:N98" si="26">(1+N66)*(1+G67)-1</f>
        <v>-0.2117579725894726</v>
      </c>
      <c r="O67" s="272"/>
      <c r="P67" s="421">
        <v>42185</v>
      </c>
      <c r="Q67" s="154">
        <f>HLOOKUP(Q$1,'Asset Returns'!$F$1:$N$109,ROW(),0)</f>
        <v>-9.5982633531093597E-2</v>
      </c>
      <c r="R67" s="154">
        <f>HLOOKUP(R$1,'Asset Returns'!$F$1:$N$109,ROW(),0)</f>
        <v>-3.3123351633548737E-2</v>
      </c>
      <c r="S67" s="154">
        <f>HLOOKUP(S$1,'Asset Returns'!$F$1:$N$109,ROW(),0)</f>
        <v>-3.9330486208200455E-2</v>
      </c>
      <c r="T67" s="154">
        <f>HLOOKUP(T$1,'Asset Returns'!$F$1:$N$109,ROW(),0)</f>
        <v>-4.1202481836080551E-2</v>
      </c>
      <c r="U67" s="154">
        <f>HLOOKUP(U$1,'Asset Returns'!$F$1:$N$109,ROW(),0)</f>
        <v>2.4276141077280045E-2</v>
      </c>
      <c r="V67" s="273">
        <f>IF(IF(Equity!$J$10="no",AA67,AF67)=0,NA(),IF(Equity!$J$10="no",AA67,AF67))</f>
        <v>0.83558170197321291</v>
      </c>
      <c r="W67" s="273">
        <f>IF(IF(Equity!$J$10="no",AB67,AG67)=0,NA(),IF(Equity!$J$10="no",AB67,AG67))</f>
        <v>-0.845069590708872</v>
      </c>
      <c r="X67" s="273">
        <f>IF(IF(Equity!$J$10="no",AC67,AH67)=0,NA(),IF(Equity!$J$10="no",AC67,AH67))</f>
        <v>0.99375010158961707</v>
      </c>
      <c r="Y67" s="273">
        <f>IF(IF(Equity!$J$10="no",AD67,AI67)=0,NA(),IF(Equity!$J$10="no",AD67,AI67))</f>
        <v>4.8467649970785606E-2</v>
      </c>
      <c r="Z67" s="273">
        <f>IF(IF(Equity!$J$10="no",AE67,AJ67)=0,NA(),IF(Equity!$J$10="no",AE67,AJ67))</f>
        <v>-5.6219631987598141E-2</v>
      </c>
      <c r="AA67" s="274">
        <f ca="1">Equity!$R$34</f>
        <v>0.64097224418739052</v>
      </c>
      <c r="AB67" s="274">
        <f ca="1">Equity!$R$36</f>
        <v>-0.78557102570241866</v>
      </c>
      <c r="AC67" s="274">
        <f ca="1">Equity!$R$38</f>
        <v>0.9378377404978776</v>
      </c>
      <c r="AD67" s="274">
        <f ca="1">Equity!$R$40</f>
        <v>0.17519882647973573</v>
      </c>
      <c r="AE67" s="274">
        <f ca="1">Equity!$R$42</f>
        <v>7.3760094442444454E-2</v>
      </c>
      <c r="AF67" s="274">
        <f>INDEX(LINEST(Q8:Q67,'AC2'!$F8:$J67,1,1),1,1)</f>
        <v>0.83558170197321291</v>
      </c>
      <c r="AG67" s="274">
        <f>INDEX(LINEST(R8:R67,'AC2'!$F8:$J67,1,1),1,1)</f>
        <v>-0.845069590708872</v>
      </c>
      <c r="AH67" s="274">
        <f>INDEX(LINEST(S8:S67,'AC2'!$F8:$J67,1,1),1,1)</f>
        <v>0.99375010158961707</v>
      </c>
      <c r="AI67" s="274">
        <f>INDEX(LINEST(T8:T67,'AC2'!$F8:$J67,1,1),1,1)</f>
        <v>4.8467649970785606E-2</v>
      </c>
      <c r="AJ67" s="274">
        <f>INDEX(LINEST(U8:U67,'AC2'!$F8:$J67,1,1),1,1)</f>
        <v>-5.6219631987598141E-2</v>
      </c>
      <c r="AK67" s="274"/>
      <c r="AL67" s="421">
        <v>42185</v>
      </c>
      <c r="AM67" s="154">
        <f>HLOOKUP(AM$1,'Asset Returns'!$F$1:$ZS$109,ROW(),0)</f>
        <v>-1.7991923790939945E-2</v>
      </c>
      <c r="AN67" s="154">
        <f>HLOOKUP(AN$1,'Asset Returns'!$F$1:$ZS$109,ROW(),0)</f>
        <v>-2.9375984307660308E-2</v>
      </c>
      <c r="AO67" s="273">
        <f ca="1">IF(IF(Bonds!$J$10="no",AQ67,AS67)=0,NA(),IF(Bonds!$J$10="no",AQ67,AS67))</f>
        <v>-0.12498736259259137</v>
      </c>
      <c r="AP67" s="273">
        <f ca="1">IF(IF(Bonds!$J$10="no",AR67,AT67)=0,NA(),IF(Bonds!$J$10="no",AR67,AT67))</f>
        <v>0.19970923689173462</v>
      </c>
      <c r="AQ67" s="273">
        <f ca="1">Bonds!$P$32</f>
        <v>-0.12498736259259137</v>
      </c>
      <c r="AR67" s="273">
        <f ca="1">Bonds!$P$34</f>
        <v>0.19970923689173462</v>
      </c>
      <c r="AS67" s="274">
        <f>INDEX(LINEST(AM8:AM67,'AC2'!$F8:$J67,1,1),1,1)</f>
        <v>0.21210018514473392</v>
      </c>
      <c r="AT67" s="274">
        <f>INDEX(LINEST(AN8:AN67,'AC2'!$F8:$J67,1,1),1,1)</f>
        <v>0.58496741725887524</v>
      </c>
      <c r="AU67" s="274"/>
      <c r="AV67" s="421">
        <v>42185</v>
      </c>
      <c r="AW67" s="154">
        <f>HLOOKUP(AW$1,'Asset Returns'!$F$1:$ZS$109,ROW(),0)</f>
        <v>-4.6218500000000003E-2</v>
      </c>
      <c r="AX67" s="154">
        <f>HLOOKUP(AX$1,'Asset Returns'!$F$1:$ZS$109,ROW(),0)</f>
        <v>-2.3428300000000003E-2</v>
      </c>
      <c r="AY67" s="154">
        <f>HLOOKUP(AY$1,'Asset Returns'!$F$1:$ZS$109,ROW(),0)</f>
        <v>-3.2105009999999996E-2</v>
      </c>
      <c r="AZ67" s="154">
        <f>HLOOKUP(AZ$1,'Asset Returns'!$F$1:$ZS$109,ROW(),0)</f>
        <v>-2.5162529999999999E-2</v>
      </c>
      <c r="BA67" s="154">
        <f>HLOOKUP(BA$1,'Asset Returns'!$F$1:$ZS$109,ROW(),0)</f>
        <v>6.9676200000000008E-2</v>
      </c>
      <c r="BB67" s="273">
        <f>IF(IF(Funds!$J$10="no",BG67,BL67)=0,NA(),IF(Funds!$J$10="no",BG67,BL67))</f>
        <v>1.9812152682757156</v>
      </c>
      <c r="BC67" s="273">
        <f>IF(IF(Funds!$J$10="no",BH67,BM67)=0,NA(),IF(Funds!$J$10="no",BH67,BM67))</f>
        <v>1.4447022795612361E-2</v>
      </c>
      <c r="BD67" s="273">
        <f>IF(IF(Funds!$J$10="no",BI67,BN67)=0,NA(),IF(Funds!$J$10="no",BI67,BN67))</f>
        <v>-0.12211462939261926</v>
      </c>
      <c r="BE67" s="273">
        <f>IF(IF(Funds!$J$10="no",BJ67,BO67)=0,NA(),IF(Funds!$J$10="no",BJ67,BO67))</f>
        <v>-0.21935678972138808</v>
      </c>
      <c r="BF67" s="273">
        <f>IF(IF(Funds!$J$10="no",BK67,BP67)=0,NA(),IF(Funds!$J$10="no",BK67,BP67))</f>
        <v>-2.247264412980869</v>
      </c>
      <c r="BG67" s="274">
        <f ca="1">Funds!$R$34</f>
        <v>2.5919346055080732</v>
      </c>
      <c r="BH67" s="274">
        <f ca="1">Funds!$R$36</f>
        <v>1.3378677483181089E-2</v>
      </c>
      <c r="BI67" s="274">
        <f ca="1">Funds!$R$38</f>
        <v>-0.15972963753204919</v>
      </c>
      <c r="BJ67" s="274">
        <f ca="1">Funds!$R$40</f>
        <v>-0.16887551350866659</v>
      </c>
      <c r="BK67" s="274">
        <f ca="1">Funds!$R$42</f>
        <v>-1.9222891726906419</v>
      </c>
      <c r="BL67" s="274">
        <f>INDEX(LINEST(AW8:AW67,'AC2'!$F8:$J67,1,1),1,1)</f>
        <v>1.9812152682757156</v>
      </c>
      <c r="BM67" s="274">
        <f>INDEX(LINEST(AX8:AX67,'AC2'!$F8:$J67,1,1),1,1)</f>
        <v>1.4447022795612361E-2</v>
      </c>
      <c r="BN67" s="274">
        <f>INDEX(LINEST(AY8:AY67,'AC2'!$F8:$J67,1,1),1,1)</f>
        <v>-0.12211462939261926</v>
      </c>
      <c r="BO67" s="274">
        <f>INDEX(LINEST(AZ8:AZ67,'AC2'!$F8:$J67,1,1),1,1)</f>
        <v>-0.21935678972138808</v>
      </c>
      <c r="BP67" s="274">
        <f>INDEX(LINEST(BA8:BA67,'AC2'!$F8:$J67,1,1),1,1)</f>
        <v>-2.247264412980869</v>
      </c>
      <c r="BR67" s="154" t="s">
        <v>95</v>
      </c>
      <c r="BS67" s="158">
        <v>-0.3559311</v>
      </c>
      <c r="BT67" s="154"/>
      <c r="BU67" s="154"/>
      <c r="BX67" s="154"/>
      <c r="BZ67" s="154"/>
      <c r="CA67" s="154"/>
      <c r="CB67" s="154"/>
      <c r="CE67" s="154"/>
      <c r="CG67" s="218"/>
      <c r="CH67" s="154" t="s">
        <v>92</v>
      </c>
      <c r="CI67" s="158">
        <v>-9.8970699999999995E-2</v>
      </c>
      <c r="CJ67" s="153" t="str">
        <f t="shared" si="16"/>
        <v>Republic of Serbia</v>
      </c>
      <c r="CK67" s="153" t="s">
        <v>91</v>
      </c>
      <c r="CL67" s="158">
        <v>-0.56010490000000002</v>
      </c>
      <c r="CM67" s="153" t="str">
        <f t="shared" si="17"/>
        <v>Romania</v>
      </c>
      <c r="CN67" s="154"/>
      <c r="CO67" s="209" t="s">
        <v>99</v>
      </c>
      <c r="CP67" s="157">
        <v>-0.221001</v>
      </c>
      <c r="CQ67" s="210"/>
      <c r="CR67" s="209" t="s">
        <v>40</v>
      </c>
      <c r="CS67" s="158">
        <v>-0.3904495</v>
      </c>
      <c r="CT67" s="154"/>
    </row>
    <row r="68" spans="6:98">
      <c r="F68" s="421">
        <v>42216</v>
      </c>
      <c r="G68" s="272">
        <f>BMG!F68</f>
        <v>-4.3803500000000002E-2</v>
      </c>
      <c r="H68" s="272" t="e">
        <f>IF('Carbon Risk Factor BMG'!$G$10="yes",AVERAGE(AC!$G32:$G67),NA())</f>
        <v>#N/A</v>
      </c>
      <c r="I68" s="272" t="e">
        <f>IF('Carbon Risk Factor BMG'!$G$11="yes",MIN(AC!$G32:$G67),NA())</f>
        <v>#N/A</v>
      </c>
      <c r="J68" s="272" t="e">
        <f>IF('Carbon Risk Factor BMG'!$G$12="yes",MAX(AC!$G32:$G67),NA())</f>
        <v>#N/A</v>
      </c>
      <c r="K68" s="272" t="e">
        <f>IF('Carbon Risk Factor BMG'!$G$13="yes",_xlfn.STDEV.S(AC!$G32:$G67),NA())</f>
        <v>#N/A</v>
      </c>
      <c r="L68" s="272" t="e">
        <f>IF('Carbon Risk Factor BMG'!$G$14="yes",_xlfn.PERCENTILE.INC(AC!$G32:$G67,'Carbon Risk Factor BMG'!$H$14),NA())</f>
        <v>#N/A</v>
      </c>
      <c r="M68" s="272" t="e">
        <f>IF('Carbon Risk Factor BMG'!$G$15="yes",_xlfn.PERCENTILE.INC(AC!$G32:$G67,'Carbon Risk Factor BMG'!$H$15),NA())</f>
        <v>#N/A</v>
      </c>
      <c r="N68" s="272">
        <f t="shared" si="26"/>
        <v>-0.24628573223714967</v>
      </c>
      <c r="O68" s="272"/>
      <c r="P68" s="421">
        <v>42216</v>
      </c>
      <c r="Q68" s="154">
        <f>HLOOKUP(Q$1,'Asset Returns'!$F$1:$N$109,ROW(),0)</f>
        <v>-0.12190146744251251</v>
      </c>
      <c r="R68" s="154">
        <f>HLOOKUP(R$1,'Asset Returns'!$F$1:$N$109,ROW(),0)</f>
        <v>-6.3325567170977592E-3</v>
      </c>
      <c r="S68" s="154">
        <f>HLOOKUP(S$1,'Asset Returns'!$F$1:$N$109,ROW(),0)</f>
        <v>-6.6088274121284485E-2</v>
      </c>
      <c r="T68" s="154">
        <f>HLOOKUP(T$1,'Asset Returns'!$F$1:$N$109,ROW(),0)</f>
        <v>-4.1190139017999172E-3</v>
      </c>
      <c r="U68" s="154">
        <f>HLOOKUP(U$1,'Asset Returns'!$F$1:$N$109,ROW(),0)</f>
        <v>1.2097272090613842E-2</v>
      </c>
      <c r="V68" s="273">
        <f>IF(IF(Equity!$J$10="no",AA68,AF68)=0,NA(),IF(Equity!$J$10="no",AA68,AF68))</f>
        <v>0.98977806291880033</v>
      </c>
      <c r="W68" s="273">
        <f>IF(IF(Equity!$J$10="no",AB68,AG68)=0,NA(),IF(Equity!$J$10="no",AB68,AG68))</f>
        <v>-0.80389000374815245</v>
      </c>
      <c r="X68" s="273">
        <f>IF(IF(Equity!$J$10="no",AC68,AH68)=0,NA(),IF(Equity!$J$10="no",AC68,AH68))</f>
        <v>0.84694960748825199</v>
      </c>
      <c r="Y68" s="273">
        <f>IF(IF(Equity!$J$10="no",AD68,AI68)=0,NA(),IF(Equity!$J$10="no",AD68,AI68))</f>
        <v>6.5676708553682031E-2</v>
      </c>
      <c r="Z68" s="273">
        <f>IF(IF(Equity!$J$10="no",AE68,AJ68)=0,NA(),IF(Equity!$J$10="no",AE68,AJ68))</f>
        <v>-4.937107101067463E-2</v>
      </c>
      <c r="AA68" s="274">
        <f ca="1">Equity!$R$34</f>
        <v>0.64097224418739052</v>
      </c>
      <c r="AB68" s="274">
        <f ca="1">Equity!$R$36</f>
        <v>-0.78557102570241866</v>
      </c>
      <c r="AC68" s="274">
        <f ca="1">Equity!$R$38</f>
        <v>0.9378377404978776</v>
      </c>
      <c r="AD68" s="274">
        <f ca="1">Equity!$R$40</f>
        <v>0.17519882647973573</v>
      </c>
      <c r="AE68" s="274">
        <f ca="1">Equity!$R$42</f>
        <v>7.3760094442444454E-2</v>
      </c>
      <c r="AF68" s="274">
        <f>INDEX(LINEST(Q9:Q68,'AC2'!$F9:$J68,1,1),1,1)</f>
        <v>0.98977806291880033</v>
      </c>
      <c r="AG68" s="274">
        <f>INDEX(LINEST(R9:R68,'AC2'!$F9:$J68,1,1),1,1)</f>
        <v>-0.80389000374815245</v>
      </c>
      <c r="AH68" s="274">
        <f>INDEX(LINEST(S9:S68,'AC2'!$F9:$J68,1,1),1,1)</f>
        <v>0.84694960748825199</v>
      </c>
      <c r="AI68" s="274">
        <f>INDEX(LINEST(T9:T68,'AC2'!$F9:$J68,1,1),1,1)</f>
        <v>6.5676708553682031E-2</v>
      </c>
      <c r="AJ68" s="274">
        <f>INDEX(LINEST(U9:U68,'AC2'!$F9:$J68,1,1),1,1)</f>
        <v>-4.937107101067463E-2</v>
      </c>
      <c r="AK68" s="274"/>
      <c r="AL68" s="421">
        <v>42216</v>
      </c>
      <c r="AM68" s="154">
        <f>HLOOKUP(AM$1,'Asset Returns'!$F$1:$ZS$109,ROW(),0)</f>
        <v>1.5575571708000169E-2</v>
      </c>
      <c r="AN68" s="154">
        <f>HLOOKUP(AN$1,'Asset Returns'!$F$1:$ZS$109,ROW(),0)</f>
        <v>4.1598655318487276E-2</v>
      </c>
      <c r="AO68" s="273">
        <f ca="1">IF(IF(Bonds!$J$10="no",AQ68,AS68)=0,NA(),IF(Bonds!$J$10="no",AQ68,AS68))</f>
        <v>-0.12498736259259137</v>
      </c>
      <c r="AP68" s="273">
        <f ca="1">IF(IF(Bonds!$J$10="no",AR68,AT68)=0,NA(),IF(Bonds!$J$10="no",AR68,AT68))</f>
        <v>0.19970923689173462</v>
      </c>
      <c r="AQ68" s="273">
        <f ca="1">Bonds!$P$32</f>
        <v>-0.12498736259259137</v>
      </c>
      <c r="AR68" s="273">
        <f ca="1">Bonds!$P$34</f>
        <v>0.19970923689173462</v>
      </c>
      <c r="AS68" s="274">
        <f>INDEX(LINEST(AM9:AM68,'AC2'!$F9:$J68,1,1),1,1)</f>
        <v>0.20360518995633511</v>
      </c>
      <c r="AT68" s="274">
        <f>INDEX(LINEST(AN9:AN68,'AC2'!$F9:$J68,1,1),1,1)</f>
        <v>0.56858482052791337</v>
      </c>
      <c r="AU68" s="274"/>
      <c r="AV68" s="421">
        <v>42216</v>
      </c>
      <c r="AW68" s="154">
        <f>HLOOKUP(AW$1,'Asset Returns'!$F$1:$ZS$109,ROW(),0)</f>
        <v>-0.12555070000000002</v>
      </c>
      <c r="AX68" s="154">
        <f>HLOOKUP(AX$1,'Asset Returns'!$F$1:$ZS$109,ROW(),0)</f>
        <v>1.7640100000000002E-2</v>
      </c>
      <c r="AY68" s="154">
        <f>HLOOKUP(AY$1,'Asset Returns'!$F$1:$ZS$109,ROW(),0)</f>
        <v>1.4410009999999999E-2</v>
      </c>
      <c r="AZ68" s="154">
        <f>HLOOKUP(AZ$1,'Asset Returns'!$F$1:$ZS$109,ROW(),0)</f>
        <v>1.8709299999999998E-2</v>
      </c>
      <c r="BA68" s="154">
        <f>HLOOKUP(BA$1,'Asset Returns'!$F$1:$ZS$109,ROW(),0)</f>
        <v>0.17045870000000002</v>
      </c>
      <c r="BB68" s="273">
        <f>IF(IF(Funds!$J$10="no",BG68,BL68)=0,NA(),IF(Funds!$J$10="no",BG68,BL68))</f>
        <v>2.0546723654051009</v>
      </c>
      <c r="BC68" s="273">
        <f>IF(IF(Funds!$J$10="no",BH68,BM68)=0,NA(),IF(Funds!$J$10="no",BH68,BM68))</f>
        <v>1.6631825342669375E-2</v>
      </c>
      <c r="BD68" s="273">
        <f>IF(IF(Funds!$J$10="no",BI68,BN68)=0,NA(),IF(Funds!$J$10="no",BI68,BN68))</f>
        <v>-0.1296377734768486</v>
      </c>
      <c r="BE68" s="273">
        <f>IF(IF(Funds!$J$10="no",BJ68,BO68)=0,NA(),IF(Funds!$J$10="no",BJ68,BO68))</f>
        <v>-0.21591125164971997</v>
      </c>
      <c r="BF68" s="273">
        <f>IF(IF(Funds!$J$10="no",BK68,BP68)=0,NA(),IF(Funds!$J$10="no",BK68,BP68))</f>
        <v>-2.4204436402710892</v>
      </c>
      <c r="BG68" s="274">
        <f ca="1">Funds!$R$34</f>
        <v>2.5919346055080732</v>
      </c>
      <c r="BH68" s="274">
        <f ca="1">Funds!$R$36</f>
        <v>1.3378677483181089E-2</v>
      </c>
      <c r="BI68" s="274">
        <f ca="1">Funds!$R$38</f>
        <v>-0.15972963753204919</v>
      </c>
      <c r="BJ68" s="274">
        <f ca="1">Funds!$R$40</f>
        <v>-0.16887551350866659</v>
      </c>
      <c r="BK68" s="274">
        <f ca="1">Funds!$R$42</f>
        <v>-1.9222891726906419</v>
      </c>
      <c r="BL68" s="274">
        <f>INDEX(LINEST(AW9:AW68,'AC2'!$F9:$J68,1,1),1,1)</f>
        <v>2.0546723654051009</v>
      </c>
      <c r="BM68" s="274">
        <f>INDEX(LINEST(AX9:AX68,'AC2'!$F9:$J68,1,1),1,1)</f>
        <v>1.6631825342669375E-2</v>
      </c>
      <c r="BN68" s="274">
        <f>INDEX(LINEST(AY9:AY68,'AC2'!$F9:$J68,1,1),1,1)</f>
        <v>-0.1296377734768486</v>
      </c>
      <c r="BO68" s="274">
        <f>INDEX(LINEST(AZ9:AZ68,'AC2'!$F9:$J68,1,1),1,1)</f>
        <v>-0.21591125164971997</v>
      </c>
      <c r="BP68" s="274">
        <f>INDEX(LINEST(BA9:BA68,'AC2'!$F9:$J68,1,1),1,1)</f>
        <v>-2.4204436402710892</v>
      </c>
      <c r="BR68" s="154" t="s">
        <v>96</v>
      </c>
      <c r="BS68" s="158">
        <v>-0.32751970000000002</v>
      </c>
      <c r="BT68" s="154"/>
      <c r="BU68" s="154"/>
      <c r="BX68" s="154"/>
      <c r="BZ68" s="154"/>
      <c r="CA68" s="154"/>
      <c r="CB68" s="154"/>
      <c r="CE68" s="154"/>
      <c r="CG68" s="218"/>
      <c r="CH68" s="154" t="s">
        <v>125</v>
      </c>
      <c r="CI68" s="158">
        <v>6.9031700000000001E-2</v>
      </c>
      <c r="CJ68" s="153" t="e">
        <f t="shared" ref="CJ68:CJ87" si="27">VLOOKUP(CH68,$BR$3:$BR$78,1,0)</f>
        <v>#N/A</v>
      </c>
      <c r="CK68" s="154" t="s">
        <v>93</v>
      </c>
      <c r="CL68" s="158">
        <v>0.327903</v>
      </c>
      <c r="CM68" s="153" t="str">
        <f t="shared" ref="CM68:CM91" si="28">VLOOKUP(CK68,$BR$3:$BR$78,1,0)</f>
        <v>Russia</v>
      </c>
      <c r="CN68" s="154"/>
      <c r="CO68" s="209" t="s">
        <v>100</v>
      </c>
      <c r="CP68" s="157">
        <v>-1.3082699999999999E-2</v>
      </c>
      <c r="CQ68" s="210"/>
      <c r="CR68" s="209" t="s">
        <v>101</v>
      </c>
      <c r="CS68" s="158">
        <v>0.14157339999999999</v>
      </c>
      <c r="CT68" s="154"/>
    </row>
    <row r="69" spans="6:98">
      <c r="F69" s="421">
        <v>42247</v>
      </c>
      <c r="G69" s="272">
        <f>BMG!F69</f>
        <v>-2.2263000000000001E-3</v>
      </c>
      <c r="H69" s="272" t="e">
        <f>IF('Carbon Risk Factor BMG'!$G$10="yes",AVERAGE(AC!$G33:$G68),NA())</f>
        <v>#N/A</v>
      </c>
      <c r="I69" s="272" t="e">
        <f>IF('Carbon Risk Factor BMG'!$G$11="yes",MIN(AC!$G33:$G68),NA())</f>
        <v>#N/A</v>
      </c>
      <c r="J69" s="272" t="e">
        <f>IF('Carbon Risk Factor BMG'!$G$12="yes",MAX(AC!$G33:$G68),NA())</f>
        <v>#N/A</v>
      </c>
      <c r="K69" s="272" t="e">
        <f>IF('Carbon Risk Factor BMG'!$G$13="yes",_xlfn.STDEV.S(AC!$G33:$G68),NA())</f>
        <v>#N/A</v>
      </c>
      <c r="L69" s="272" t="e">
        <f>IF('Carbon Risk Factor BMG'!$G$14="yes",_xlfn.PERCENTILE.INC(AC!$G33:$G68,'Carbon Risk Factor BMG'!$H$14),NA())</f>
        <v>#N/A</v>
      </c>
      <c r="M69" s="272" t="e">
        <f>IF('Carbon Risk Factor BMG'!$G$15="yes",_xlfn.PERCENTILE.INC(AC!$G33:$G68,'Carbon Risk Factor BMG'!$H$15),NA())</f>
        <v>#N/A</v>
      </c>
      <c r="N69" s="272">
        <f t="shared" si="26"/>
        <v>-0.24796372631147012</v>
      </c>
      <c r="O69" s="272"/>
      <c r="P69" s="421">
        <v>42247</v>
      </c>
      <c r="Q69" s="154">
        <f>HLOOKUP(Q$1,'Asset Returns'!$F$1:$N$109,ROW(),0)</f>
        <v>-0.14526346325874329</v>
      </c>
      <c r="R69" s="154">
        <f>HLOOKUP(R$1,'Asset Returns'!$F$1:$N$109,ROW(),0)</f>
        <v>-0.10907085239887238</v>
      </c>
      <c r="S69" s="154">
        <f>HLOOKUP(S$1,'Asset Returns'!$F$1:$N$109,ROW(),0)</f>
        <v>-8.6177043616771698E-2</v>
      </c>
      <c r="T69" s="154">
        <f>HLOOKUP(T$1,'Asset Returns'!$F$1:$N$109,ROW(),0)</f>
        <v>-7.9450003802776337E-2</v>
      </c>
      <c r="U69" s="154">
        <f>HLOOKUP(U$1,'Asset Returns'!$F$1:$N$109,ROW(),0)</f>
        <v>-4.1712403297424316E-2</v>
      </c>
      <c r="V69" s="273">
        <f>IF(IF(Equity!$J$10="no",AA69,AF69)=0,NA(),IF(Equity!$J$10="no",AA69,AF69))</f>
        <v>0.57889526844085026</v>
      </c>
      <c r="W69" s="273">
        <f>IF(IF(Equity!$J$10="no",AB69,AG69)=0,NA(),IF(Equity!$J$10="no",AB69,AG69))</f>
        <v>-0.81058533374430319</v>
      </c>
      <c r="X69" s="273">
        <f>IF(IF(Equity!$J$10="no",AC69,AH69)=0,NA(),IF(Equity!$J$10="no",AC69,AH69))</f>
        <v>0.91717494106239827</v>
      </c>
      <c r="Y69" s="273">
        <f>IF(IF(Equity!$J$10="no",AD69,AI69)=0,NA(),IF(Equity!$J$10="no",AD69,AI69))</f>
        <v>9.8044014229293014E-2</v>
      </c>
      <c r="Z69" s="273">
        <f>IF(IF(Equity!$J$10="no",AE69,AJ69)=0,NA(),IF(Equity!$J$10="no",AE69,AJ69))</f>
        <v>-6.1764021065625861E-2</v>
      </c>
      <c r="AA69" s="274">
        <f ca="1">Equity!$R$34</f>
        <v>0.64097224418739052</v>
      </c>
      <c r="AB69" s="274">
        <f ca="1">Equity!$R$36</f>
        <v>-0.78557102570241866</v>
      </c>
      <c r="AC69" s="274">
        <f ca="1">Equity!$R$38</f>
        <v>0.9378377404978776</v>
      </c>
      <c r="AD69" s="274">
        <f ca="1">Equity!$R$40</f>
        <v>0.17519882647973573</v>
      </c>
      <c r="AE69" s="274">
        <f ca="1">Equity!$R$42</f>
        <v>7.3760094442444454E-2</v>
      </c>
      <c r="AF69" s="274">
        <f>INDEX(LINEST(Q10:Q69,'AC2'!$F10:$J69,1,1),1,1)</f>
        <v>0.57889526844085026</v>
      </c>
      <c r="AG69" s="274">
        <f>INDEX(LINEST(R10:R69,'AC2'!$F10:$J69,1,1),1,1)</f>
        <v>-0.81058533374430319</v>
      </c>
      <c r="AH69" s="274">
        <f>INDEX(LINEST(S10:S69,'AC2'!$F10:$J69,1,1),1,1)</f>
        <v>0.91717494106239827</v>
      </c>
      <c r="AI69" s="274">
        <f>INDEX(LINEST(T10:T69,'AC2'!$F10:$J69,1,1),1,1)</f>
        <v>9.8044014229293014E-2</v>
      </c>
      <c r="AJ69" s="274">
        <f>INDEX(LINEST(U10:U69,'AC2'!$F10:$J69,1,1),1,1)</f>
        <v>-6.1764021065625861E-2</v>
      </c>
      <c r="AK69" s="274"/>
      <c r="AL69" s="421">
        <v>42247</v>
      </c>
      <c r="AM69" s="154">
        <f>HLOOKUP(AM$1,'Asset Returns'!$F$1:$ZS$109,ROW(),0)</f>
        <v>-4.2494361259816094E-3</v>
      </c>
      <c r="AN69" s="154">
        <f>HLOOKUP(AN$1,'Asset Returns'!$F$1:$ZS$109,ROW(),0)</f>
        <v>6.3382942106515738E-3</v>
      </c>
      <c r="AO69" s="273">
        <f ca="1">IF(IF(Bonds!$J$10="no",AQ69,AS69)=0,NA(),IF(Bonds!$J$10="no",AQ69,AS69))</f>
        <v>-0.12498736259259137</v>
      </c>
      <c r="AP69" s="273">
        <f ca="1">IF(IF(Bonds!$J$10="no",AR69,AT69)=0,NA(),IF(Bonds!$J$10="no",AR69,AT69))</f>
        <v>0.19970923689173462</v>
      </c>
      <c r="AQ69" s="273">
        <f ca="1">Bonds!$P$32</f>
        <v>-0.12498736259259137</v>
      </c>
      <c r="AR69" s="273">
        <f ca="1">Bonds!$P$34</f>
        <v>0.19970923689173462</v>
      </c>
      <c r="AS69" s="274">
        <f>INDEX(LINEST(AM10:AM69,'AC2'!$F10:$J69,1,1),1,1)</f>
        <v>0.17568655717538983</v>
      </c>
      <c r="AT69" s="274">
        <f>INDEX(LINEST(AN10:AN69,'AC2'!$F10:$J69,1,1),1,1)</f>
        <v>0.49276544543878498</v>
      </c>
      <c r="AU69" s="274"/>
      <c r="AV69" s="421">
        <v>42247</v>
      </c>
      <c r="AW69" s="154">
        <f>HLOOKUP(AW$1,'Asset Returns'!$F$1:$ZS$109,ROW(),0)</f>
        <v>1.5113399999999999E-2</v>
      </c>
      <c r="AX69" s="154">
        <f>HLOOKUP(AX$1,'Asset Returns'!$F$1:$ZS$109,ROW(),0)</f>
        <v>-6.6544400000000004E-2</v>
      </c>
      <c r="AY69" s="154">
        <f>HLOOKUP(AY$1,'Asset Returns'!$F$1:$ZS$109,ROW(),0)</f>
        <v>-6.3361349999999997E-2</v>
      </c>
      <c r="AZ69" s="154">
        <f>HLOOKUP(AZ$1,'Asset Returns'!$F$1:$ZS$109,ROW(),0)</f>
        <v>-6.0915699999999996E-2</v>
      </c>
      <c r="BA69" s="154">
        <f>HLOOKUP(BA$1,'Asset Returns'!$F$1:$ZS$109,ROW(),0)</f>
        <v>4.4207599999999993E-2</v>
      </c>
      <c r="BB69" s="273">
        <f>IF(IF(Funds!$J$10="no",BG69,BL69)=0,NA(),IF(Funds!$J$10="no",BG69,BL69))</f>
        <v>1.9074996200680727</v>
      </c>
      <c r="BC69" s="273">
        <f>IF(IF(Funds!$J$10="no",BH69,BM69)=0,NA(),IF(Funds!$J$10="no",BH69,BM69))</f>
        <v>2.2898586042827507E-2</v>
      </c>
      <c r="BD69" s="273">
        <f>IF(IF(Funds!$J$10="no",BI69,BN69)=0,NA(),IF(Funds!$J$10="no",BI69,BN69))</f>
        <v>-0.19376447545368006</v>
      </c>
      <c r="BE69" s="273">
        <f>IF(IF(Funds!$J$10="no",BJ69,BO69)=0,NA(),IF(Funds!$J$10="no",BJ69,BO69))</f>
        <v>-0.24985694714955867</v>
      </c>
      <c r="BF69" s="273">
        <f>IF(IF(Funds!$J$10="no",BK69,BP69)=0,NA(),IF(Funds!$J$10="no",BK69,BP69))</f>
        <v>-2.4960611886010944</v>
      </c>
      <c r="BG69" s="274">
        <f ca="1">Funds!$R$34</f>
        <v>2.5919346055080732</v>
      </c>
      <c r="BH69" s="274">
        <f ca="1">Funds!$R$36</f>
        <v>1.3378677483181089E-2</v>
      </c>
      <c r="BI69" s="274">
        <f ca="1">Funds!$R$38</f>
        <v>-0.15972963753204919</v>
      </c>
      <c r="BJ69" s="274">
        <f ca="1">Funds!$R$40</f>
        <v>-0.16887551350866659</v>
      </c>
      <c r="BK69" s="274">
        <f ca="1">Funds!$R$42</f>
        <v>-1.9222891726906419</v>
      </c>
      <c r="BL69" s="274">
        <f>INDEX(LINEST(AW10:AW69,'AC2'!$F10:$J69,1,1),1,1)</f>
        <v>1.9074996200680727</v>
      </c>
      <c r="BM69" s="274">
        <f>INDEX(LINEST(AX10:AX69,'AC2'!$F10:$J69,1,1),1,1)</f>
        <v>2.2898586042827507E-2</v>
      </c>
      <c r="BN69" s="274">
        <f>INDEX(LINEST(AY10:AY69,'AC2'!$F10:$J69,1,1),1,1)</f>
        <v>-0.19376447545368006</v>
      </c>
      <c r="BO69" s="274">
        <f>INDEX(LINEST(AZ10:AZ69,'AC2'!$F10:$J69,1,1),1,1)</f>
        <v>-0.24985694714955867</v>
      </c>
      <c r="BP69" s="274">
        <f>INDEX(LINEST(BA10:BA69,'AC2'!$F10:$J69,1,1),1,1)</f>
        <v>-2.4960611886010944</v>
      </c>
      <c r="BR69" s="154" t="s">
        <v>97</v>
      </c>
      <c r="BS69" s="158">
        <v>-0.31534909999999999</v>
      </c>
      <c r="BT69" s="154"/>
      <c r="BU69" s="154"/>
      <c r="BX69" s="154"/>
      <c r="BZ69" s="154"/>
      <c r="CA69" s="154"/>
      <c r="CB69" s="154"/>
      <c r="CE69" s="154"/>
      <c r="CG69" s="218"/>
      <c r="CH69" s="154" t="s">
        <v>97</v>
      </c>
      <c r="CI69" s="158">
        <v>-0.34063599999999999</v>
      </c>
      <c r="CJ69" s="153" t="str">
        <f t="shared" si="27"/>
        <v>Slovakia</v>
      </c>
      <c r="CK69" s="153" t="s">
        <v>94</v>
      </c>
      <c r="CL69" s="158">
        <v>4.8192199999999998E-2</v>
      </c>
      <c r="CM69" s="153" t="str">
        <f t="shared" si="28"/>
        <v>Saudi Arabia</v>
      </c>
      <c r="CN69" s="154"/>
      <c r="CO69" s="209" t="s">
        <v>102</v>
      </c>
      <c r="CP69" s="157">
        <v>0.25183800000000001</v>
      </c>
      <c r="CQ69" s="210"/>
      <c r="CR69" s="209" t="s">
        <v>98</v>
      </c>
      <c r="CS69" s="158">
        <v>0.18943489999999999</v>
      </c>
      <c r="CT69" s="154"/>
    </row>
    <row r="70" spans="6:98">
      <c r="F70" s="421">
        <v>42277</v>
      </c>
      <c r="G70" s="272">
        <f>BMG!F70</f>
        <v>-1.18756E-2</v>
      </c>
      <c r="H70" s="272" t="e">
        <f>IF('Carbon Risk Factor BMG'!$G$10="yes",AVERAGE(AC!$G34:$G69),NA())</f>
        <v>#N/A</v>
      </c>
      <c r="I70" s="272" t="e">
        <f>IF('Carbon Risk Factor BMG'!$G$11="yes",MIN(AC!$G34:$G69),NA())</f>
        <v>#N/A</v>
      </c>
      <c r="J70" s="272" t="e">
        <f>IF('Carbon Risk Factor BMG'!$G$12="yes",MAX(AC!$G34:$G69),NA())</f>
        <v>#N/A</v>
      </c>
      <c r="K70" s="272" t="e">
        <f>IF('Carbon Risk Factor BMG'!$G$13="yes",_xlfn.STDEV.S(AC!$G34:$G69),NA())</f>
        <v>#N/A</v>
      </c>
      <c r="L70" s="272" t="e">
        <f>IF('Carbon Risk Factor BMG'!$G$14="yes",_xlfn.PERCENTILE.INC(AC!$G34:$G69,'Carbon Risk Factor BMG'!$H$14),NA())</f>
        <v>#N/A</v>
      </c>
      <c r="M70" s="272" t="e">
        <f>IF('Carbon Risk Factor BMG'!$G$15="yes",_xlfn.PERCENTILE.INC(AC!$G34:$G69,'Carbon Risk Factor BMG'!$H$15),NA())</f>
        <v>#N/A</v>
      </c>
      <c r="N70" s="272">
        <f t="shared" si="26"/>
        <v>-0.25689460828328559</v>
      </c>
      <c r="O70" s="272"/>
      <c r="P70" s="421">
        <v>42277</v>
      </c>
      <c r="Q70" s="154">
        <f>HLOOKUP(Q$1,'Asset Returns'!$F$1:$N$109,ROW(),0)</f>
        <v>-0.11098580807447433</v>
      </c>
      <c r="R70" s="154">
        <f>HLOOKUP(R$1,'Asset Returns'!$F$1:$N$109,ROW(),0)</f>
        <v>-5.3237895481288433E-3</v>
      </c>
      <c r="S70" s="154">
        <f>HLOOKUP(S$1,'Asset Returns'!$F$1:$N$109,ROW(),0)</f>
        <v>-8.7501026690006256E-2</v>
      </c>
      <c r="T70" s="154">
        <f>HLOOKUP(T$1,'Asset Returns'!$F$1:$N$109,ROW(),0)</f>
        <v>-1.9744411110877991E-2</v>
      </c>
      <c r="U70" s="154">
        <f>HLOOKUP(U$1,'Asset Returns'!$F$1:$N$109,ROW(),0)</f>
        <v>4.6455390751361847E-2</v>
      </c>
      <c r="V70" s="273">
        <f>IF(IF(Equity!$J$10="no",AA70,AF70)=0,NA(),IF(Equity!$J$10="no",AA70,AF70))</f>
        <v>0.49442747555619776</v>
      </c>
      <c r="W70" s="273">
        <f>IF(IF(Equity!$J$10="no",AB70,AG70)=0,NA(),IF(Equity!$J$10="no",AB70,AG70))</f>
        <v>-0.84643106696186154</v>
      </c>
      <c r="X70" s="273">
        <f>IF(IF(Equity!$J$10="no",AC70,AH70)=0,NA(),IF(Equity!$J$10="no",AC70,AH70))</f>
        <v>1.0127127249940242</v>
      </c>
      <c r="Y70" s="273">
        <f>IF(IF(Equity!$J$10="no",AD70,AI70)=0,NA(),IF(Equity!$J$10="no",AD70,AI70))</f>
        <v>0.16085107544447955</v>
      </c>
      <c r="Z70" s="273">
        <f>IF(IF(Equity!$J$10="no",AE70,AJ70)=0,NA(),IF(Equity!$J$10="no",AE70,AJ70))</f>
        <v>-0.33482875512082494</v>
      </c>
      <c r="AA70" s="274">
        <f ca="1">Equity!$R$34</f>
        <v>0.64097224418739052</v>
      </c>
      <c r="AB70" s="274">
        <f ca="1">Equity!$R$36</f>
        <v>-0.78557102570241866</v>
      </c>
      <c r="AC70" s="274">
        <f ca="1">Equity!$R$38</f>
        <v>0.9378377404978776</v>
      </c>
      <c r="AD70" s="274">
        <f ca="1">Equity!$R$40</f>
        <v>0.17519882647973573</v>
      </c>
      <c r="AE70" s="274">
        <f ca="1">Equity!$R$42</f>
        <v>7.3760094442444454E-2</v>
      </c>
      <c r="AF70" s="274">
        <f>INDEX(LINEST(Q11:Q70,'AC2'!$F11:$J70,1,1),1,1)</f>
        <v>0.49442747555619776</v>
      </c>
      <c r="AG70" s="274">
        <f>INDEX(LINEST(R11:R70,'AC2'!$F11:$J70,1,1),1,1)</f>
        <v>-0.84643106696186154</v>
      </c>
      <c r="AH70" s="274">
        <f>INDEX(LINEST(S11:S70,'AC2'!$F11:$J70,1,1),1,1)</f>
        <v>1.0127127249940242</v>
      </c>
      <c r="AI70" s="274">
        <f>INDEX(LINEST(T11:T70,'AC2'!$F11:$J70,1,1),1,1)</f>
        <v>0.16085107544447955</v>
      </c>
      <c r="AJ70" s="274">
        <f>INDEX(LINEST(U11:U70,'AC2'!$F11:$J70,1,1),1,1)</f>
        <v>-0.33482875512082494</v>
      </c>
      <c r="AK70" s="274"/>
      <c r="AL70" s="421">
        <v>42277</v>
      </c>
      <c r="AM70" s="154">
        <f>HLOOKUP(AM$1,'Asset Returns'!$F$1:$ZS$109,ROW(),0)</f>
        <v>1.4259349596269288E-2</v>
      </c>
      <c r="AN70" s="154">
        <f>HLOOKUP(AN$1,'Asset Returns'!$F$1:$ZS$109,ROW(),0)</f>
        <v>7.4477452843304537E-3</v>
      </c>
      <c r="AO70" s="273">
        <f ca="1">IF(IF(Bonds!$J$10="no",AQ70,AS70)=0,NA(),IF(Bonds!$J$10="no",AQ70,AS70))</f>
        <v>-0.12498736259259137</v>
      </c>
      <c r="AP70" s="273">
        <f ca="1">IF(IF(Bonds!$J$10="no",AR70,AT70)=0,NA(),IF(Bonds!$J$10="no",AR70,AT70))</f>
        <v>0.19970923689173462</v>
      </c>
      <c r="AQ70" s="273">
        <f ca="1">Bonds!$P$32</f>
        <v>-0.12498736259259137</v>
      </c>
      <c r="AR70" s="273">
        <f ca="1">Bonds!$P$34</f>
        <v>0.19970923689173462</v>
      </c>
      <c r="AS70" s="274">
        <f>INDEX(LINEST(AM11:AM70,'AC2'!$F11:$J70,1,1),1,1)</f>
        <v>0.18069201679228436</v>
      </c>
      <c r="AT70" s="274">
        <f>INDEX(LINEST(AN11:AN70,'AC2'!$F11:$J70,1,1),1,1)</f>
        <v>0.51177554630444411</v>
      </c>
      <c r="AU70" s="274"/>
      <c r="AV70" s="421">
        <v>42277</v>
      </c>
      <c r="AW70" s="154">
        <f>HLOOKUP(AW$1,'Asset Returns'!$F$1:$ZS$109,ROW(),0)</f>
        <v>-2.97767E-2</v>
      </c>
      <c r="AX70" s="154">
        <f>HLOOKUP(AX$1,'Asset Returns'!$F$1:$ZS$109,ROW(),0)</f>
        <v>-3.669E-2</v>
      </c>
      <c r="AY70" s="154">
        <f>HLOOKUP(AY$1,'Asset Returns'!$F$1:$ZS$109,ROW(),0)</f>
        <v>-6.7903199999999997E-2</v>
      </c>
      <c r="AZ70" s="154">
        <f>HLOOKUP(AZ$1,'Asset Returns'!$F$1:$ZS$109,ROW(),0)</f>
        <v>-3.267631E-2</v>
      </c>
      <c r="BA70" s="154">
        <f>HLOOKUP(BA$1,'Asset Returns'!$F$1:$ZS$109,ROW(),0)</f>
        <v>0.13991889999999998</v>
      </c>
      <c r="BB70" s="273">
        <f>IF(IF(Funds!$J$10="no",BG70,BL70)=0,NA(),IF(Funds!$J$10="no",BG70,BL70))</f>
        <v>2.0398163384681562</v>
      </c>
      <c r="BC70" s="273">
        <f>IF(IF(Funds!$J$10="no",BH70,BM70)=0,NA(),IF(Funds!$J$10="no",BH70,BM70))</f>
        <v>2.3068123163787542E-2</v>
      </c>
      <c r="BD70" s="273">
        <f>IF(IF(Funds!$J$10="no",BI70,BN70)=0,NA(),IF(Funds!$J$10="no",BI70,BN70))</f>
        <v>-0.19143734245923272</v>
      </c>
      <c r="BE70" s="273">
        <f>IF(IF(Funds!$J$10="no",BJ70,BO70)=0,NA(),IF(Funds!$J$10="no",BJ70,BO70))</f>
        <v>-0.28730718272884703</v>
      </c>
      <c r="BF70" s="273">
        <f>IF(IF(Funds!$J$10="no",BK70,BP70)=0,NA(),IF(Funds!$J$10="no",BK70,BP70))</f>
        <v>-2.5641470745903971</v>
      </c>
      <c r="BG70" s="274">
        <f ca="1">Funds!$R$34</f>
        <v>2.5919346055080732</v>
      </c>
      <c r="BH70" s="274">
        <f ca="1">Funds!$R$36</f>
        <v>1.3378677483181089E-2</v>
      </c>
      <c r="BI70" s="274">
        <f ca="1">Funds!$R$38</f>
        <v>-0.15972963753204919</v>
      </c>
      <c r="BJ70" s="274">
        <f ca="1">Funds!$R$40</f>
        <v>-0.16887551350866659</v>
      </c>
      <c r="BK70" s="274">
        <f ca="1">Funds!$R$42</f>
        <v>-1.9222891726906419</v>
      </c>
      <c r="BL70" s="274">
        <f>INDEX(LINEST(AW11:AW70,'AC2'!$F11:$J70,1,1),1,1)</f>
        <v>2.0398163384681562</v>
      </c>
      <c r="BM70" s="274">
        <f>INDEX(LINEST(AX11:AX70,'AC2'!$F11:$J70,1,1),1,1)</f>
        <v>2.3068123163787542E-2</v>
      </c>
      <c r="BN70" s="274">
        <f>INDEX(LINEST(AY11:AY70,'AC2'!$F11:$J70,1,1),1,1)</f>
        <v>-0.19143734245923272</v>
      </c>
      <c r="BO70" s="274">
        <f>INDEX(LINEST(AZ11:AZ70,'AC2'!$F11:$J70,1,1),1,1)</f>
        <v>-0.28730718272884703</v>
      </c>
      <c r="BP70" s="274">
        <f>INDEX(LINEST(BA11:BA70,'AC2'!$F11:$J70,1,1),1,1)</f>
        <v>-2.5641470745903971</v>
      </c>
      <c r="BR70" s="154" t="s">
        <v>98</v>
      </c>
      <c r="BS70" s="158">
        <v>0.1904363</v>
      </c>
      <c r="BT70" s="154"/>
      <c r="BU70" s="154"/>
      <c r="BX70" s="154"/>
      <c r="BZ70" s="154"/>
      <c r="CA70" s="154"/>
      <c r="CB70" s="154"/>
      <c r="CE70" s="154"/>
      <c r="CG70" s="218"/>
      <c r="CH70" s="154" t="s">
        <v>105</v>
      </c>
      <c r="CI70" s="158">
        <v>0.41407699999999997</v>
      </c>
      <c r="CJ70" s="153" t="str">
        <f t="shared" si="27"/>
        <v>South Africa</v>
      </c>
      <c r="CK70" s="154" t="s">
        <v>92</v>
      </c>
      <c r="CL70" s="158">
        <v>-0.14735680000000001</v>
      </c>
      <c r="CM70" s="153" t="str">
        <f t="shared" si="28"/>
        <v>Republic of Serbia</v>
      </c>
      <c r="CN70" s="154"/>
      <c r="CO70" s="209" t="s">
        <v>31</v>
      </c>
      <c r="CP70" s="157">
        <v>-4.2322100000000001E-2</v>
      </c>
      <c r="CQ70" s="210"/>
      <c r="CR70" s="209" t="s">
        <v>99</v>
      </c>
      <c r="CS70" s="158">
        <v>-0.2209952</v>
      </c>
      <c r="CT70" s="154"/>
    </row>
    <row r="71" spans="6:98">
      <c r="F71" s="421">
        <v>42308</v>
      </c>
      <c r="G71" s="272">
        <f>BMG!F71</f>
        <v>-1.9300000000000002E-5</v>
      </c>
      <c r="H71" s="272" t="e">
        <f>IF('Carbon Risk Factor BMG'!$G$10="yes",AVERAGE(AC!$G35:$G70),NA())</f>
        <v>#N/A</v>
      </c>
      <c r="I71" s="272" t="e">
        <f>IF('Carbon Risk Factor BMG'!$G$11="yes",MIN(AC!$G35:$G70),NA())</f>
        <v>#N/A</v>
      </c>
      <c r="J71" s="272" t="e">
        <f>IF('Carbon Risk Factor BMG'!$G$12="yes",MAX(AC!$G35:$G70),NA())</f>
        <v>#N/A</v>
      </c>
      <c r="K71" s="272" t="e">
        <f>IF('Carbon Risk Factor BMG'!$G$13="yes",_xlfn.STDEV.S(AC!$G35:$G70),NA())</f>
        <v>#N/A</v>
      </c>
      <c r="L71" s="272" t="e">
        <f>IF('Carbon Risk Factor BMG'!$G$14="yes",_xlfn.PERCENTILE.INC(AC!$G35:$G70,'Carbon Risk Factor BMG'!$H$14),NA())</f>
        <v>#N/A</v>
      </c>
      <c r="M71" s="272" t="e">
        <f>IF('Carbon Risk Factor BMG'!$G$15="yes",_xlfn.PERCENTILE.INC(AC!$G35:$G70,'Carbon Risk Factor BMG'!$H$15),NA())</f>
        <v>#N/A</v>
      </c>
      <c r="N71" s="272">
        <f t="shared" si="26"/>
        <v>-0.25690895021734572</v>
      </c>
      <c r="O71" s="272"/>
      <c r="P71" s="421">
        <v>42308</v>
      </c>
      <c r="Q71" s="154">
        <f>HLOOKUP(Q$1,'Asset Returns'!$F$1:$N$109,ROW(),0)</f>
        <v>0.29500323534011841</v>
      </c>
      <c r="R71" s="154">
        <f>HLOOKUP(R$1,'Asset Returns'!$F$1:$N$109,ROW(),0)</f>
        <v>6.3359722495079041E-2</v>
      </c>
      <c r="S71" s="154">
        <f>HLOOKUP(S$1,'Asset Returns'!$F$1:$N$109,ROW(),0)</f>
        <v>0.17952367663383484</v>
      </c>
      <c r="T71" s="154">
        <f>HLOOKUP(T$1,'Asset Returns'!$F$1:$N$109,ROW(),0)</f>
        <v>-3.3731117844581604E-2</v>
      </c>
      <c r="U71" s="154">
        <f>HLOOKUP(U$1,'Asset Returns'!$F$1:$N$109,ROW(),0)</f>
        <v>7.832644134759903E-2</v>
      </c>
      <c r="V71" s="273">
        <f>IF(IF(Equity!$J$10="no",AA71,AF71)=0,NA(),IF(Equity!$J$10="no",AA71,AF71))</f>
        <v>0.55136118880386731</v>
      </c>
      <c r="W71" s="273">
        <f>IF(IF(Equity!$J$10="no",AB71,AG71)=0,NA(),IF(Equity!$J$10="no",AB71,AG71))</f>
        <v>-0.83077162658976789</v>
      </c>
      <c r="X71" s="273">
        <f>IF(IF(Equity!$J$10="no",AC71,AH71)=0,NA(),IF(Equity!$J$10="no",AC71,AH71))</f>
        <v>1.0436649924725196</v>
      </c>
      <c r="Y71" s="273">
        <f>IF(IF(Equity!$J$10="no",AD71,AI71)=0,NA(),IF(Equity!$J$10="no",AD71,AI71))</f>
        <v>0.11765053840857843</v>
      </c>
      <c r="Z71" s="273">
        <f>IF(IF(Equity!$J$10="no",AE71,AJ71)=0,NA(),IF(Equity!$J$10="no",AE71,AJ71))</f>
        <v>-0.34245684039579333</v>
      </c>
      <c r="AA71" s="274">
        <f ca="1">Equity!$R$34</f>
        <v>0.64097224418739052</v>
      </c>
      <c r="AB71" s="274">
        <f ca="1">Equity!$R$36</f>
        <v>-0.78557102570241866</v>
      </c>
      <c r="AC71" s="274">
        <f ca="1">Equity!$R$38</f>
        <v>0.9378377404978776</v>
      </c>
      <c r="AD71" s="274">
        <f ca="1">Equity!$R$40</f>
        <v>0.17519882647973573</v>
      </c>
      <c r="AE71" s="274">
        <f ca="1">Equity!$R$42</f>
        <v>7.3760094442444454E-2</v>
      </c>
      <c r="AF71" s="274">
        <f>INDEX(LINEST(Q12:Q71,'AC2'!$F12:$J71,1,1),1,1)</f>
        <v>0.55136118880386731</v>
      </c>
      <c r="AG71" s="274">
        <f>INDEX(LINEST(R12:R71,'AC2'!$F12:$J71,1,1),1,1)</f>
        <v>-0.83077162658976789</v>
      </c>
      <c r="AH71" s="274">
        <f>INDEX(LINEST(S12:S71,'AC2'!$F12:$J71,1,1),1,1)</f>
        <v>1.0436649924725196</v>
      </c>
      <c r="AI71" s="274">
        <f>INDEX(LINEST(T12:T71,'AC2'!$F12:$J71,1,1),1,1)</f>
        <v>0.11765053840857843</v>
      </c>
      <c r="AJ71" s="274">
        <f>INDEX(LINEST(U12:U71,'AC2'!$F12:$J71,1,1),1,1)</f>
        <v>-0.34245684039579333</v>
      </c>
      <c r="AK71" s="274"/>
      <c r="AL71" s="421">
        <v>42308</v>
      </c>
      <c r="AM71" s="154">
        <f>HLOOKUP(AM$1,'Asset Returns'!$F$1:$ZS$109,ROW(),0)</f>
        <v>-3.4407256803253849E-3</v>
      </c>
      <c r="AN71" s="154">
        <f>HLOOKUP(AN$1,'Asset Returns'!$F$1:$ZS$109,ROW(),0)</f>
        <v>-3.5114110508471463E-2</v>
      </c>
      <c r="AO71" s="273">
        <f ca="1">IF(IF(Bonds!$J$10="no",AQ71,AS71)=0,NA(),IF(Bonds!$J$10="no",AQ71,AS71))</f>
        <v>-0.12498736259259137</v>
      </c>
      <c r="AP71" s="273">
        <f ca="1">IF(IF(Bonds!$J$10="no",AR71,AT71)=0,NA(),IF(Bonds!$J$10="no",AR71,AT71))</f>
        <v>0.19970923689173462</v>
      </c>
      <c r="AQ71" s="273">
        <f ca="1">Bonds!$P$32</f>
        <v>-0.12498736259259137</v>
      </c>
      <c r="AR71" s="273">
        <f ca="1">Bonds!$P$34</f>
        <v>0.19970923689173462</v>
      </c>
      <c r="AS71" s="274">
        <f>INDEX(LINEST(AM12:AM71,'AC2'!$F12:$J71,1,1),1,1)</f>
        <v>0.18224106707700682</v>
      </c>
      <c r="AT71" s="274">
        <f>INDEX(LINEST(AN12:AN71,'AC2'!$F12:$J71,1,1),1,1)</f>
        <v>0.51398386196053947</v>
      </c>
      <c r="AU71" s="274"/>
      <c r="AV71" s="421">
        <v>42308</v>
      </c>
      <c r="AW71" s="154">
        <f>HLOOKUP(AW$1,'Asset Returns'!$F$1:$ZS$109,ROW(),0)</f>
        <v>5.6265999999999997E-2</v>
      </c>
      <c r="AX71" s="154">
        <f>HLOOKUP(AX$1,'Asset Returns'!$F$1:$ZS$109,ROW(),0)</f>
        <v>7.9662899999999995E-2</v>
      </c>
      <c r="AY71" s="154">
        <f>HLOOKUP(AY$1,'Asset Returns'!$F$1:$ZS$109,ROW(),0)</f>
        <v>8.4995559999999998E-2</v>
      </c>
      <c r="AZ71" s="154">
        <f>HLOOKUP(AZ$1,'Asset Returns'!$F$1:$ZS$109,ROW(),0)</f>
        <v>7.0706680000000008E-2</v>
      </c>
      <c r="BA71" s="154">
        <f>HLOOKUP(BA$1,'Asset Returns'!$F$1:$ZS$109,ROW(),0)</f>
        <v>-0.2136178</v>
      </c>
      <c r="BB71" s="273">
        <f>IF(IF(Funds!$J$10="no",BG71,BL71)=0,NA(),IF(Funds!$J$10="no",BG71,BL71))</f>
        <v>2.0502000512083183</v>
      </c>
      <c r="BC71" s="273">
        <f>IF(IF(Funds!$J$10="no",BH71,BM71)=0,NA(),IF(Funds!$J$10="no",BH71,BM71))</f>
        <v>2.4810685531945768E-2</v>
      </c>
      <c r="BD71" s="273">
        <f>IF(IF(Funds!$J$10="no",BI71,BN71)=0,NA(),IF(Funds!$J$10="no",BI71,BN71))</f>
        <v>-0.19571921719675855</v>
      </c>
      <c r="BE71" s="273">
        <f>IF(IF(Funds!$J$10="no",BJ71,BO71)=0,NA(),IF(Funds!$J$10="no",BJ71,BO71))</f>
        <v>-0.29130609046500305</v>
      </c>
      <c r="BF71" s="273">
        <f>IF(IF(Funds!$J$10="no",BK71,BP71)=0,NA(),IF(Funds!$J$10="no",BK71,BP71))</f>
        <v>-2.578283485419655</v>
      </c>
      <c r="BG71" s="274">
        <f ca="1">Funds!$R$34</f>
        <v>2.5919346055080732</v>
      </c>
      <c r="BH71" s="274">
        <f ca="1">Funds!$R$36</f>
        <v>1.3378677483181089E-2</v>
      </c>
      <c r="BI71" s="274">
        <f ca="1">Funds!$R$38</f>
        <v>-0.15972963753204919</v>
      </c>
      <c r="BJ71" s="274">
        <f ca="1">Funds!$R$40</f>
        <v>-0.16887551350866659</v>
      </c>
      <c r="BK71" s="274">
        <f ca="1">Funds!$R$42</f>
        <v>-1.9222891726906419</v>
      </c>
      <c r="BL71" s="274">
        <f>INDEX(LINEST(AW12:AW71,'AC2'!$F12:$J71,1,1),1,1)</f>
        <v>2.0502000512083183</v>
      </c>
      <c r="BM71" s="274">
        <f>INDEX(LINEST(AX12:AX71,'AC2'!$F12:$J71,1,1),1,1)</f>
        <v>2.4810685531945768E-2</v>
      </c>
      <c r="BN71" s="274">
        <f>INDEX(LINEST(AY12:AY71,'AC2'!$F12:$J71,1,1),1,1)</f>
        <v>-0.19571921719675855</v>
      </c>
      <c r="BO71" s="274">
        <f>INDEX(LINEST(AZ12:AZ71,'AC2'!$F12:$J71,1,1),1,1)</f>
        <v>-0.29130609046500305</v>
      </c>
      <c r="BP71" s="274">
        <f>INDEX(LINEST(BA12:BA71,'AC2'!$F12:$J71,1,1),1,1)</f>
        <v>-2.578283485419655</v>
      </c>
      <c r="BR71" s="154" t="s">
        <v>99</v>
      </c>
      <c r="BS71" s="158">
        <v>-0.2123767</v>
      </c>
      <c r="BT71" s="154"/>
      <c r="BU71" s="154"/>
      <c r="BX71" s="154"/>
      <c r="BZ71" s="154"/>
      <c r="CA71" s="154"/>
      <c r="CB71" s="154"/>
      <c r="CE71" s="154"/>
      <c r="CG71" s="218"/>
      <c r="CH71" s="154" t="s">
        <v>68</v>
      </c>
      <c r="CI71" s="158">
        <v>0.1099218</v>
      </c>
      <c r="CJ71" s="153" t="str">
        <f t="shared" si="27"/>
        <v>South Korea</v>
      </c>
      <c r="CK71" s="153" t="s">
        <v>125</v>
      </c>
      <c r="CL71" s="158">
        <v>5.7103800000000003E-2</v>
      </c>
      <c r="CM71" s="153" t="e">
        <f t="shared" si="28"/>
        <v>#N/A</v>
      </c>
      <c r="CN71" s="154"/>
      <c r="CO71" s="209" t="s">
        <v>54</v>
      </c>
      <c r="CP71" s="157">
        <v>-0.24432290000000001</v>
      </c>
      <c r="CQ71" s="210"/>
      <c r="CR71" s="209" t="s">
        <v>100</v>
      </c>
      <c r="CS71" s="158">
        <v>-8.6750000000000004E-3</v>
      </c>
      <c r="CT71" s="154"/>
    </row>
    <row r="72" spans="6:98">
      <c r="F72" s="421">
        <v>42338</v>
      </c>
      <c r="G72" s="272">
        <f>BMG!F72</f>
        <v>-2.3494299999999999E-2</v>
      </c>
      <c r="H72" s="272" t="e">
        <f>IF('Carbon Risk Factor BMG'!$G$10="yes",AVERAGE(AC!$G36:$G71),NA())</f>
        <v>#N/A</v>
      </c>
      <c r="I72" s="272" t="e">
        <f>IF('Carbon Risk Factor BMG'!$G$11="yes",MIN(AC!$G36:$G71),NA())</f>
        <v>#N/A</v>
      </c>
      <c r="J72" s="272" t="e">
        <f>IF('Carbon Risk Factor BMG'!$G$12="yes",MAX(AC!$G36:$G71),NA())</f>
        <v>#N/A</v>
      </c>
      <c r="K72" s="272" t="e">
        <f>IF('Carbon Risk Factor BMG'!$G$13="yes",_xlfn.STDEV.S(AC!$G36:$G71),NA())</f>
        <v>#N/A</v>
      </c>
      <c r="L72" s="272" t="e">
        <f>IF('Carbon Risk Factor BMG'!$G$14="yes",_xlfn.PERCENTILE.INC(AC!$G36:$G71,'Carbon Risk Factor BMG'!$H$14),NA())</f>
        <v>#N/A</v>
      </c>
      <c r="M72" s="272" t="e">
        <f>IF('Carbon Risk Factor BMG'!$G$15="yes",_xlfn.PERCENTILE.INC(AC!$G36:$G71,'Carbon Risk Factor BMG'!$H$15),NA())</f>
        <v>#N/A</v>
      </c>
      <c r="N72" s="272">
        <f t="shared" si="26"/>
        <v>-0.27436735426825432</v>
      </c>
      <c r="O72" s="272"/>
      <c r="P72" s="421">
        <v>42338</v>
      </c>
      <c r="Q72" s="154">
        <f>HLOOKUP(Q$1,'Asset Returns'!$F$1:$N$109,ROW(),0)</f>
        <v>7.8521750867366791E-2</v>
      </c>
      <c r="R72" s="154">
        <f>HLOOKUP(R$1,'Asset Returns'!$F$1:$N$109,ROW(),0)</f>
        <v>3.5078383516520262E-3</v>
      </c>
      <c r="S72" s="154">
        <f>HLOOKUP(S$1,'Asset Returns'!$F$1:$N$109,ROW(),0)</f>
        <v>-1.1708301492035389E-2</v>
      </c>
      <c r="T72" s="154">
        <f>HLOOKUP(T$1,'Asset Returns'!$F$1:$N$109,ROW(),0)</f>
        <v>4.647363442927599E-3</v>
      </c>
      <c r="U72" s="154">
        <f>HLOOKUP(U$1,'Asset Returns'!$F$1:$N$109,ROW(),0)</f>
        <v>3.1581323593854904E-2</v>
      </c>
      <c r="V72" s="273">
        <f>IF(IF(Equity!$J$10="no",AA72,AF72)=0,NA(),IF(Equity!$J$10="no",AA72,AF72))</f>
        <v>0.31839204763932677</v>
      </c>
      <c r="W72" s="273">
        <f>IF(IF(Equity!$J$10="no",AB72,AG72)=0,NA(),IF(Equity!$J$10="no",AB72,AG72))</f>
        <v>-1.0244036012471698</v>
      </c>
      <c r="X72" s="273">
        <f>IF(IF(Equity!$J$10="no",AC72,AH72)=0,NA(),IF(Equity!$J$10="no",AC72,AH72))</f>
        <v>0.98786148180115729</v>
      </c>
      <c r="Y72" s="273">
        <f>IF(IF(Equity!$J$10="no",AD72,AI72)=0,NA(),IF(Equity!$J$10="no",AD72,AI72))</f>
        <v>8.4547180759397308E-2</v>
      </c>
      <c r="Z72" s="273">
        <f>IF(IF(Equity!$J$10="no",AE72,AJ72)=0,NA(),IF(Equity!$J$10="no",AE72,AJ72))</f>
        <v>-0.34672357377451002</v>
      </c>
      <c r="AA72" s="274">
        <f ca="1">Equity!$R$34</f>
        <v>0.64097224418739052</v>
      </c>
      <c r="AB72" s="274">
        <f ca="1">Equity!$R$36</f>
        <v>-0.78557102570241866</v>
      </c>
      <c r="AC72" s="274">
        <f ca="1">Equity!$R$38</f>
        <v>0.9378377404978776</v>
      </c>
      <c r="AD72" s="274">
        <f ca="1">Equity!$R$40</f>
        <v>0.17519882647973573</v>
      </c>
      <c r="AE72" s="274">
        <f ca="1">Equity!$R$42</f>
        <v>7.3760094442444454E-2</v>
      </c>
      <c r="AF72" s="274">
        <f>INDEX(LINEST(Q13:Q72,'AC2'!$F13:$J72,1,1),1,1)</f>
        <v>0.31839204763932677</v>
      </c>
      <c r="AG72" s="274">
        <f>INDEX(LINEST(R13:R72,'AC2'!$F13:$J72,1,1),1,1)</f>
        <v>-1.0244036012471698</v>
      </c>
      <c r="AH72" s="274">
        <f>INDEX(LINEST(S13:S72,'AC2'!$F13:$J72,1,1),1,1)</f>
        <v>0.98786148180115729</v>
      </c>
      <c r="AI72" s="274">
        <f>INDEX(LINEST(T13:T72,'AC2'!$F13:$J72,1,1),1,1)</f>
        <v>8.4547180759397308E-2</v>
      </c>
      <c r="AJ72" s="274">
        <f>INDEX(LINEST(U13:U72,'AC2'!$F13:$J72,1,1),1,1)</f>
        <v>-0.34672357377451002</v>
      </c>
      <c r="AK72" s="274"/>
      <c r="AL72" s="421">
        <v>42338</v>
      </c>
      <c r="AM72" s="154">
        <f>HLOOKUP(AM$1,'Asset Returns'!$F$1:$ZS$109,ROW(),0)</f>
        <v>5.7745917960971838E-3</v>
      </c>
      <c r="AN72" s="154">
        <f>HLOOKUP(AN$1,'Asset Returns'!$F$1:$ZS$109,ROW(),0)</f>
        <v>-5.7689373712721537E-4</v>
      </c>
      <c r="AO72" s="273">
        <f ca="1">IF(IF(Bonds!$J$10="no",AQ72,AS72)=0,NA(),IF(Bonds!$J$10="no",AQ72,AS72))</f>
        <v>-0.12498736259259137</v>
      </c>
      <c r="AP72" s="273">
        <f ca="1">IF(IF(Bonds!$J$10="no",AR72,AT72)=0,NA(),IF(Bonds!$J$10="no",AR72,AT72))</f>
        <v>0.19970923689173462</v>
      </c>
      <c r="AQ72" s="273">
        <f ca="1">Bonds!$P$32</f>
        <v>-0.12498736259259137</v>
      </c>
      <c r="AR72" s="273">
        <f ca="1">Bonds!$P$34</f>
        <v>0.19970923689173462</v>
      </c>
      <c r="AS72" s="274">
        <f>INDEX(LINEST(AM13:AM72,'AC2'!$F13:$J72,1,1),1,1)</f>
        <v>0.28190255244336776</v>
      </c>
      <c r="AT72" s="274">
        <f>INDEX(LINEST(AN13:AN72,'AC2'!$F13:$J72,1,1),1,1)</f>
        <v>0.54583364652941513</v>
      </c>
      <c r="AU72" s="274"/>
      <c r="AV72" s="421">
        <v>42338</v>
      </c>
      <c r="AW72" s="154">
        <f>HLOOKUP(AW$1,'Asset Returns'!$F$1:$ZS$109,ROW(),0)</f>
        <v>-7.5060500000000002E-2</v>
      </c>
      <c r="AX72" s="154">
        <f>HLOOKUP(AX$1,'Asset Returns'!$F$1:$ZS$109,ROW(),0)</f>
        <v>-5.0939000000000002E-3</v>
      </c>
      <c r="AY72" s="154">
        <f>HLOOKUP(AY$1,'Asset Returns'!$F$1:$ZS$109,ROW(),0)</f>
        <v>-2.3593280000000001E-2</v>
      </c>
      <c r="AZ72" s="154">
        <f>HLOOKUP(AZ$1,'Asset Returns'!$F$1:$ZS$109,ROW(),0)</f>
        <v>-4.9206400000000004E-3</v>
      </c>
      <c r="BA72" s="154">
        <f>HLOOKUP(BA$1,'Asset Returns'!$F$1:$ZS$109,ROW(),0)</f>
        <v>-9.0437E-3</v>
      </c>
      <c r="BB72" s="273">
        <f>IF(IF(Funds!$J$10="no",BG72,BL72)=0,NA(),IF(Funds!$J$10="no",BG72,BL72))</f>
        <v>2.0584962152876209</v>
      </c>
      <c r="BC72" s="273">
        <f>IF(IF(Funds!$J$10="no",BH72,BM72)=0,NA(),IF(Funds!$J$10="no",BH72,BM72))</f>
        <v>2.0070409300969733E-2</v>
      </c>
      <c r="BD72" s="273">
        <f>IF(IF(Funds!$J$10="no",BI72,BN72)=0,NA(),IF(Funds!$J$10="no",BI72,BN72))</f>
        <v>-0.13783842080493064</v>
      </c>
      <c r="BE72" s="273">
        <f>IF(IF(Funds!$J$10="no",BJ72,BO72)=0,NA(),IF(Funds!$J$10="no",BJ72,BO72))</f>
        <v>-0.29490550940971888</v>
      </c>
      <c r="BF72" s="273">
        <f>IF(IF(Funds!$J$10="no",BK72,BP72)=0,NA(),IF(Funds!$J$10="no",BK72,BP72))</f>
        <v>-2.3279223362819943</v>
      </c>
      <c r="BG72" s="274">
        <f ca="1">Funds!$R$34</f>
        <v>2.5919346055080732</v>
      </c>
      <c r="BH72" s="274">
        <f ca="1">Funds!$R$36</f>
        <v>1.3378677483181089E-2</v>
      </c>
      <c r="BI72" s="274">
        <f ca="1">Funds!$R$38</f>
        <v>-0.15972963753204919</v>
      </c>
      <c r="BJ72" s="274">
        <f ca="1">Funds!$R$40</f>
        <v>-0.16887551350866659</v>
      </c>
      <c r="BK72" s="274">
        <f ca="1">Funds!$R$42</f>
        <v>-1.9222891726906419</v>
      </c>
      <c r="BL72" s="274">
        <f>INDEX(LINEST(AW13:AW72,'AC2'!$F13:$J72,1,1),1,1)</f>
        <v>2.0584962152876209</v>
      </c>
      <c r="BM72" s="274">
        <f>INDEX(LINEST(AX13:AX72,'AC2'!$F13:$J72,1,1),1,1)</f>
        <v>2.0070409300969733E-2</v>
      </c>
      <c r="BN72" s="274">
        <f>INDEX(LINEST(AY13:AY72,'AC2'!$F13:$J72,1,1),1,1)</f>
        <v>-0.13783842080493064</v>
      </c>
      <c r="BO72" s="274">
        <f>INDEX(LINEST(AZ13:AZ72,'AC2'!$F13:$J72,1,1),1,1)</f>
        <v>-0.29490550940971888</v>
      </c>
      <c r="BP72" s="274">
        <f>INDEX(LINEST(BA13:BA72,'AC2'!$F13:$J72,1,1),1,1)</f>
        <v>-2.3279223362819943</v>
      </c>
      <c r="BR72" s="154" t="s">
        <v>100</v>
      </c>
      <c r="BS72" s="158">
        <v>2.28749E-2</v>
      </c>
      <c r="BT72" s="154"/>
      <c r="BU72" s="154"/>
      <c r="BX72" s="154"/>
      <c r="BZ72" s="154"/>
      <c r="CA72" s="154"/>
      <c r="CB72" s="154"/>
      <c r="CE72" s="154"/>
      <c r="CG72" s="218"/>
      <c r="CH72" s="154" t="s">
        <v>51</v>
      </c>
      <c r="CI72" s="158">
        <v>-0.95318210000000003</v>
      </c>
      <c r="CJ72" s="153" t="str">
        <f t="shared" si="27"/>
        <v>Spain</v>
      </c>
      <c r="CK72" s="153" t="s">
        <v>97</v>
      </c>
      <c r="CL72" s="158">
        <v>-0.33286379999999999</v>
      </c>
      <c r="CM72" s="153" t="str">
        <f t="shared" si="28"/>
        <v>Slovakia</v>
      </c>
      <c r="CN72" s="154"/>
      <c r="CO72" s="209" t="s">
        <v>103</v>
      </c>
      <c r="CP72" s="157">
        <v>0.14497860000000001</v>
      </c>
      <c r="CQ72" s="210"/>
      <c r="CR72" s="209" t="s">
        <v>102</v>
      </c>
      <c r="CS72" s="158">
        <v>0.25183800000000001</v>
      </c>
      <c r="CT72" s="154"/>
    </row>
    <row r="73" spans="6:98">
      <c r="F73" s="421">
        <v>42369</v>
      </c>
      <c r="G73" s="272">
        <f>BMG!F73</f>
        <v>-2.0010799999999999E-2</v>
      </c>
      <c r="H73" s="272" t="e">
        <f>IF('Carbon Risk Factor BMG'!$G$10="yes",AVERAGE(AC!$G37:$G72),NA())</f>
        <v>#N/A</v>
      </c>
      <c r="I73" s="272" t="e">
        <f>IF('Carbon Risk Factor BMG'!$G$11="yes",MIN(AC!$G37:$G72),NA())</f>
        <v>#N/A</v>
      </c>
      <c r="J73" s="272" t="e">
        <f>IF('Carbon Risk Factor BMG'!$G$12="yes",MAX(AC!$G37:$G72),NA())</f>
        <v>#N/A</v>
      </c>
      <c r="K73" s="272" t="e">
        <f>IF('Carbon Risk Factor BMG'!$G$13="yes",_xlfn.STDEV.S(AC!$G37:$G72),NA())</f>
        <v>#N/A</v>
      </c>
      <c r="L73" s="272" t="e">
        <f>IF('Carbon Risk Factor BMG'!$G$14="yes",_xlfn.PERCENTILE.INC(AC!$G37:$G72,'Carbon Risk Factor BMG'!$H$14),NA())</f>
        <v>#N/A</v>
      </c>
      <c r="M73" s="272" t="e">
        <f>IF('Carbon Risk Factor BMG'!$G$15="yes",_xlfn.PERCENTILE.INC(AC!$G37:$G72,'Carbon Risk Factor BMG'!$H$15),NA())</f>
        <v>#N/A</v>
      </c>
      <c r="N73" s="272">
        <f t="shared" si="26"/>
        <v>-0.28888784401546308</v>
      </c>
      <c r="O73" s="272"/>
      <c r="P73" s="421">
        <v>42369</v>
      </c>
      <c r="Q73" s="154">
        <f>HLOOKUP(Q$1,'Asset Returns'!$F$1:$N$109,ROW(),0)</f>
        <v>-6.9167174398899078E-2</v>
      </c>
      <c r="R73" s="154">
        <f>HLOOKUP(R$1,'Asset Returns'!$F$1:$N$109,ROW(),0)</f>
        <v>2.0963356364518404E-3</v>
      </c>
      <c r="S73" s="154">
        <f>HLOOKUP(S$1,'Asset Returns'!$F$1:$N$109,ROW(),0)</f>
        <v>-0.10038015991449356</v>
      </c>
      <c r="T73" s="154">
        <f>HLOOKUP(T$1,'Asset Returns'!$F$1:$N$109,ROW(),0)</f>
        <v>-1.3010632246732712E-2</v>
      </c>
      <c r="U73" s="154">
        <f>HLOOKUP(U$1,'Asset Returns'!$F$1:$N$109,ROW(),0)</f>
        <v>2.7015678584575653E-2</v>
      </c>
      <c r="V73" s="273">
        <f>IF(IF(Equity!$J$10="no",AA73,AF73)=0,NA(),IF(Equity!$J$10="no",AA73,AF73))</f>
        <v>0.36569968485246401</v>
      </c>
      <c r="W73" s="273">
        <f>IF(IF(Equity!$J$10="no",AB73,AG73)=0,NA(),IF(Equity!$J$10="no",AB73,AG73))</f>
        <v>-1.015159168646532</v>
      </c>
      <c r="X73" s="273">
        <f>IF(IF(Equity!$J$10="no",AC73,AH73)=0,NA(),IF(Equity!$J$10="no",AC73,AH73))</f>
        <v>1.0127577939818992</v>
      </c>
      <c r="Y73" s="273">
        <f>IF(IF(Equity!$J$10="no",AD73,AI73)=0,NA(),IF(Equity!$J$10="no",AD73,AI73))</f>
        <v>8.421228943731135E-2</v>
      </c>
      <c r="Z73" s="273">
        <f>IF(IF(Equity!$J$10="no",AE73,AJ73)=0,NA(),IF(Equity!$J$10="no",AE73,AJ73))</f>
        <v>-0.3559892043585447</v>
      </c>
      <c r="AA73" s="274">
        <f ca="1">Equity!$R$34</f>
        <v>0.64097224418739052</v>
      </c>
      <c r="AB73" s="274">
        <f ca="1">Equity!$R$36</f>
        <v>-0.78557102570241866</v>
      </c>
      <c r="AC73" s="274">
        <f ca="1">Equity!$R$38</f>
        <v>0.9378377404978776</v>
      </c>
      <c r="AD73" s="274">
        <f ca="1">Equity!$R$40</f>
        <v>0.17519882647973573</v>
      </c>
      <c r="AE73" s="274">
        <f ca="1">Equity!$R$42</f>
        <v>7.3760094442444454E-2</v>
      </c>
      <c r="AF73" s="274">
        <f>INDEX(LINEST(Q14:Q73,'AC2'!$F14:$J73,1,1),1,1)</f>
        <v>0.36569968485246401</v>
      </c>
      <c r="AG73" s="274">
        <f>INDEX(LINEST(R14:R73,'AC2'!$F14:$J73,1,1),1,1)</f>
        <v>-1.015159168646532</v>
      </c>
      <c r="AH73" s="274">
        <f>INDEX(LINEST(S14:S73,'AC2'!$F14:$J73,1,1),1,1)</f>
        <v>1.0127577939818992</v>
      </c>
      <c r="AI73" s="274">
        <f>INDEX(LINEST(T14:T73,'AC2'!$F14:$J73,1,1),1,1)</f>
        <v>8.421228943731135E-2</v>
      </c>
      <c r="AJ73" s="274">
        <f>INDEX(LINEST(U14:U73,'AC2'!$F14:$J73,1,1),1,1)</f>
        <v>-0.3559892043585447</v>
      </c>
      <c r="AK73" s="274"/>
      <c r="AL73" s="421">
        <v>42369</v>
      </c>
      <c r="AM73" s="154">
        <f>HLOOKUP(AM$1,'Asset Returns'!$F$1:$ZS$109,ROW(),0)</f>
        <v>-2.2959038149854671E-2</v>
      </c>
      <c r="AN73" s="154">
        <f>HLOOKUP(AN$1,'Asset Returns'!$F$1:$ZS$109,ROW(),0)</f>
        <v>6.1062001784155662E-3</v>
      </c>
      <c r="AO73" s="273">
        <f ca="1">IF(IF(Bonds!$J$10="no",AQ73,AS73)=0,NA(),IF(Bonds!$J$10="no",AQ73,AS73))</f>
        <v>-0.12498736259259137</v>
      </c>
      <c r="AP73" s="273">
        <f ca="1">IF(IF(Bonds!$J$10="no",AR73,AT73)=0,NA(),IF(Bonds!$J$10="no",AR73,AT73))</f>
        <v>0.19970923689173462</v>
      </c>
      <c r="AQ73" s="273">
        <f ca="1">Bonds!$P$32</f>
        <v>-0.12498736259259137</v>
      </c>
      <c r="AR73" s="273">
        <f ca="1">Bonds!$P$34</f>
        <v>0.19970923689173462</v>
      </c>
      <c r="AS73" s="274">
        <f>INDEX(LINEST(AM14:AM73,'AC2'!$F14:$J73,1,1),1,1)</f>
        <v>0.3046004535542185</v>
      </c>
      <c r="AT73" s="274">
        <f>INDEX(LINEST(AN14:AN73,'AC2'!$F14:$J73,1,1),1,1)</f>
        <v>0.54889541246917573</v>
      </c>
      <c r="AU73" s="274"/>
      <c r="AV73" s="421">
        <v>42369</v>
      </c>
      <c r="AW73" s="154">
        <f>HLOOKUP(AW$1,'Asset Returns'!$F$1:$ZS$109,ROW(),0)</f>
        <v>4.8972800000000004E-2</v>
      </c>
      <c r="AX73" s="154">
        <f>HLOOKUP(AX$1,'Asset Returns'!$F$1:$ZS$109,ROW(),0)</f>
        <v>-1.78706E-2</v>
      </c>
      <c r="AY73" s="154">
        <f>HLOOKUP(AY$1,'Asset Returns'!$F$1:$ZS$109,ROW(),0)</f>
        <v>-1.9876400000000002E-2</v>
      </c>
      <c r="AZ73" s="154">
        <f>HLOOKUP(AZ$1,'Asset Returns'!$F$1:$ZS$109,ROW(),0)</f>
        <v>-7.0239700000000009E-3</v>
      </c>
      <c r="BA73" s="154">
        <f>HLOOKUP(BA$1,'Asset Returns'!$F$1:$ZS$109,ROW(),0)</f>
        <v>0.21429780000000001</v>
      </c>
      <c r="BB73" s="273">
        <f>IF(IF(Funds!$J$10="no",BG73,BL73)=0,NA(),IF(Funds!$J$10="no",BG73,BL73))</f>
        <v>2.0298078200621159</v>
      </c>
      <c r="BC73" s="273">
        <f>IF(IF(Funds!$J$10="no",BH73,BM73)=0,NA(),IF(Funds!$J$10="no",BH73,BM73))</f>
        <v>1.8215508119841968E-2</v>
      </c>
      <c r="BD73" s="273">
        <f>IF(IF(Funds!$J$10="no",BI73,BN73)=0,NA(),IF(Funds!$J$10="no",BI73,BN73))</f>
        <v>-0.14516569064002574</v>
      </c>
      <c r="BE73" s="273">
        <f>IF(IF(Funds!$J$10="no",BJ73,BO73)=0,NA(),IF(Funds!$J$10="no",BJ73,BO73))</f>
        <v>-0.30672931804287734</v>
      </c>
      <c r="BF73" s="273">
        <f>IF(IF(Funds!$J$10="no",BK73,BP73)=0,NA(),IF(Funds!$J$10="no",BK73,BP73))</f>
        <v>-2.4231545654133897</v>
      </c>
      <c r="BG73" s="274">
        <f ca="1">Funds!$R$34</f>
        <v>2.5919346055080732</v>
      </c>
      <c r="BH73" s="274">
        <f ca="1">Funds!$R$36</f>
        <v>1.3378677483181089E-2</v>
      </c>
      <c r="BI73" s="274">
        <f ca="1">Funds!$R$38</f>
        <v>-0.15972963753204919</v>
      </c>
      <c r="BJ73" s="274">
        <f ca="1">Funds!$R$40</f>
        <v>-0.16887551350866659</v>
      </c>
      <c r="BK73" s="274">
        <f ca="1">Funds!$R$42</f>
        <v>-1.9222891726906419</v>
      </c>
      <c r="BL73" s="274">
        <f>INDEX(LINEST(AW14:AW73,'AC2'!$F14:$J73,1,1),1,1)</f>
        <v>2.0298078200621159</v>
      </c>
      <c r="BM73" s="274">
        <f>INDEX(LINEST(AX14:AX73,'AC2'!$F14:$J73,1,1),1,1)</f>
        <v>1.8215508119841968E-2</v>
      </c>
      <c r="BN73" s="274">
        <f>INDEX(LINEST(AY14:AY73,'AC2'!$F14:$J73,1,1),1,1)</f>
        <v>-0.14516569064002574</v>
      </c>
      <c r="BO73" s="274">
        <f>INDEX(LINEST(AZ14:AZ73,'AC2'!$F14:$J73,1,1),1,1)</f>
        <v>-0.30672931804287734</v>
      </c>
      <c r="BP73" s="274">
        <f>INDEX(LINEST(BA14:BA73,'AC2'!$F14:$J73,1,1),1,1)</f>
        <v>-2.4231545654133897</v>
      </c>
      <c r="BR73" s="154" t="s">
        <v>101</v>
      </c>
      <c r="BS73" s="158">
        <v>9.4362299999999996E-2</v>
      </c>
      <c r="BT73" s="154"/>
      <c r="BU73" s="154"/>
      <c r="BX73" s="154"/>
      <c r="BZ73" s="154"/>
      <c r="CA73" s="154"/>
      <c r="CB73" s="154"/>
      <c r="CE73" s="154"/>
      <c r="CG73" s="218"/>
      <c r="CH73" s="154" t="s">
        <v>71</v>
      </c>
      <c r="CI73" s="158">
        <v>3.3063700000000001E-2</v>
      </c>
      <c r="CJ73" s="153" t="str">
        <f t="shared" si="27"/>
        <v>Sri Lanka</v>
      </c>
      <c r="CK73" s="154" t="s">
        <v>96</v>
      </c>
      <c r="CL73" s="158">
        <v>-0.31344949999999999</v>
      </c>
      <c r="CM73" s="153" t="str">
        <f t="shared" si="28"/>
        <v>Slovenia</v>
      </c>
      <c r="CN73" s="154"/>
      <c r="CO73" s="209" t="s">
        <v>104</v>
      </c>
      <c r="CP73" s="157">
        <v>-9.0706899999999993E-2</v>
      </c>
      <c r="CQ73" s="210"/>
      <c r="CR73" s="209" t="s">
        <v>31</v>
      </c>
      <c r="CS73" s="158">
        <v>-5.3548600000000002E-2</v>
      </c>
      <c r="CT73" s="154"/>
    </row>
    <row r="74" spans="6:98">
      <c r="F74" s="421">
        <v>42400</v>
      </c>
      <c r="G74" s="272">
        <f>BMG!F74</f>
        <v>5.5395000000000002E-3</v>
      </c>
      <c r="H74" s="272" t="e">
        <f>IF('Carbon Risk Factor BMG'!$G$10="yes",AVERAGE(AC!$G38:$G73),NA())</f>
        <v>#N/A</v>
      </c>
      <c r="I74" s="272" t="e">
        <f>IF('Carbon Risk Factor BMG'!$G$11="yes",MIN(AC!$G38:$G73),NA())</f>
        <v>#N/A</v>
      </c>
      <c r="J74" s="272" t="e">
        <f>IF('Carbon Risk Factor BMG'!$G$12="yes",MAX(AC!$G38:$G73),NA())</f>
        <v>#N/A</v>
      </c>
      <c r="K74" s="272" t="e">
        <f>IF('Carbon Risk Factor BMG'!$G$13="yes",_xlfn.STDEV.S(AC!$G38:$G73),NA())</f>
        <v>#N/A</v>
      </c>
      <c r="L74" s="272" t="e">
        <f>IF('Carbon Risk Factor BMG'!$G$14="yes",_xlfn.PERCENTILE.INC(AC!$G38:$G73,'Carbon Risk Factor BMG'!$H$14),NA())</f>
        <v>#N/A</v>
      </c>
      <c r="M74" s="272" t="e">
        <f>IF('Carbon Risk Factor BMG'!$G$15="yes",_xlfn.PERCENTILE.INC(AC!$G38:$G73,'Carbon Risk Factor BMG'!$H$15),NA())</f>
        <v>#N/A</v>
      </c>
      <c r="N74" s="272">
        <f t="shared" si="26"/>
        <v>-0.2849486382273867</v>
      </c>
      <c r="O74" s="272"/>
      <c r="P74" s="421">
        <v>42400</v>
      </c>
      <c r="Q74" s="154">
        <f>HLOOKUP(Q$1,'Asset Returns'!$F$1:$N$109,ROW(),0)</f>
        <v>-0.1609572172164917</v>
      </c>
      <c r="R74" s="154">
        <f>HLOOKUP(R$1,'Asset Returns'!$F$1:$N$109,ROW(),0)</f>
        <v>-4.467565193772316E-2</v>
      </c>
      <c r="S74" s="154">
        <f>HLOOKUP(S$1,'Asset Returns'!$F$1:$N$109,ROW(),0)</f>
        <v>2.2392395883798599E-2</v>
      </c>
      <c r="T74" s="154">
        <f>HLOOKUP(T$1,'Asset Returns'!$F$1:$N$109,ROW(),0)</f>
        <v>-9.3327723443508148E-2</v>
      </c>
      <c r="U74" s="154">
        <f>HLOOKUP(U$1,'Asset Returns'!$F$1:$N$109,ROW(),0)</f>
        <v>-5.1302898675203323E-2</v>
      </c>
      <c r="V74" s="273">
        <f>IF(IF(Equity!$J$10="no",AA74,AF74)=0,NA(),IF(Equity!$J$10="no",AA74,AF74))</f>
        <v>0.2611834972150715</v>
      </c>
      <c r="W74" s="273">
        <f>IF(IF(Equity!$J$10="no",AB74,AG74)=0,NA(),IF(Equity!$J$10="no",AB74,AG74))</f>
        <v>-1.0075735131706096</v>
      </c>
      <c r="X74" s="273">
        <f>IF(IF(Equity!$J$10="no",AC74,AH74)=0,NA(),IF(Equity!$J$10="no",AC74,AH74))</f>
        <v>1.1152128208629351</v>
      </c>
      <c r="Y74" s="273">
        <f>IF(IF(Equity!$J$10="no",AD74,AI74)=0,NA(),IF(Equity!$J$10="no",AD74,AI74))</f>
        <v>8.1034876914705761E-2</v>
      </c>
      <c r="Z74" s="273">
        <f>IF(IF(Equity!$J$10="no",AE74,AJ74)=0,NA(),IF(Equity!$J$10="no",AE74,AJ74))</f>
        <v>-0.28987269792769094</v>
      </c>
      <c r="AA74" s="274">
        <f ca="1">Equity!$R$34</f>
        <v>0.64097224418739052</v>
      </c>
      <c r="AB74" s="274">
        <f ca="1">Equity!$R$36</f>
        <v>-0.78557102570241866</v>
      </c>
      <c r="AC74" s="274">
        <f ca="1">Equity!$R$38</f>
        <v>0.9378377404978776</v>
      </c>
      <c r="AD74" s="274">
        <f ca="1">Equity!$R$40</f>
        <v>0.17519882647973573</v>
      </c>
      <c r="AE74" s="274">
        <f ca="1">Equity!$R$42</f>
        <v>7.3760094442444454E-2</v>
      </c>
      <c r="AF74" s="274">
        <f>INDEX(LINEST(Q15:Q74,'AC2'!$F15:$J74,1,1),1,1)</f>
        <v>0.2611834972150715</v>
      </c>
      <c r="AG74" s="274">
        <f>INDEX(LINEST(R15:R74,'AC2'!$F15:$J74,1,1),1,1)</f>
        <v>-1.0075735131706096</v>
      </c>
      <c r="AH74" s="274">
        <f>INDEX(LINEST(S15:S74,'AC2'!$F15:$J74,1,1),1,1)</f>
        <v>1.1152128208629351</v>
      </c>
      <c r="AI74" s="274">
        <f>INDEX(LINEST(T15:T74,'AC2'!$F15:$J74,1,1),1,1)</f>
        <v>8.1034876914705761E-2</v>
      </c>
      <c r="AJ74" s="274">
        <f>INDEX(LINEST(U15:U74,'AC2'!$F15:$J74,1,1),1,1)</f>
        <v>-0.28987269792769094</v>
      </c>
      <c r="AK74" s="274"/>
      <c r="AL74" s="421">
        <v>42400</v>
      </c>
      <c r="AM74" s="154">
        <f>HLOOKUP(AM$1,'Asset Returns'!$F$1:$ZS$109,ROW(),0)</f>
        <v>2.926155780016293E-2</v>
      </c>
      <c r="AN74" s="154">
        <f>HLOOKUP(AN$1,'Asset Returns'!$F$1:$ZS$109,ROW(),0)</f>
        <v>2.7846924889641356E-2</v>
      </c>
      <c r="AO74" s="273">
        <f ca="1">IF(IF(Bonds!$J$10="no",AQ74,AS74)=0,NA(),IF(Bonds!$J$10="no",AQ74,AS74))</f>
        <v>-0.12498736259259137</v>
      </c>
      <c r="AP74" s="273">
        <f ca="1">IF(IF(Bonds!$J$10="no",AR74,AT74)=0,NA(),IF(Bonds!$J$10="no",AR74,AT74))</f>
        <v>0.19970923689173462</v>
      </c>
      <c r="AQ74" s="273">
        <f ca="1">Bonds!$P$32</f>
        <v>-0.12498736259259137</v>
      </c>
      <c r="AR74" s="273">
        <f ca="1">Bonds!$P$34</f>
        <v>0.19970923689173462</v>
      </c>
      <c r="AS74" s="274">
        <f>INDEX(LINEST(AM15:AM74,'AC2'!$F15:$J74,1,1),1,1)</f>
        <v>0.30349618746827578</v>
      </c>
      <c r="AT74" s="274">
        <f>INDEX(LINEST(AN15:AN74,'AC2'!$F15:$J74,1,1),1,1)</f>
        <v>0.53327356925244229</v>
      </c>
      <c r="AU74" s="274"/>
      <c r="AV74" s="421">
        <v>42400</v>
      </c>
      <c r="AW74" s="154">
        <f>HLOOKUP(AW$1,'Asset Returns'!$F$1:$ZS$109,ROW(),0)</f>
        <v>1.37363E-2</v>
      </c>
      <c r="AX74" s="154">
        <f>HLOOKUP(AX$1,'Asset Returns'!$F$1:$ZS$109,ROW(),0)</f>
        <v>-5.9715400000000002E-2</v>
      </c>
      <c r="AY74" s="154">
        <f>HLOOKUP(AY$1,'Asset Returns'!$F$1:$ZS$109,ROW(),0)</f>
        <v>-8.8814939999999995E-2</v>
      </c>
      <c r="AZ74" s="154">
        <f>HLOOKUP(AZ$1,'Asset Returns'!$F$1:$ZS$109,ROW(),0)</f>
        <v>-6.1145940000000003E-2</v>
      </c>
      <c r="BA74" s="154">
        <f>HLOOKUP(BA$1,'Asset Returns'!$F$1:$ZS$109,ROW(),0)</f>
        <v>2.56089E-2</v>
      </c>
      <c r="BB74" s="273">
        <f>IF(IF(Funds!$J$10="no",BG74,BL74)=0,NA(),IF(Funds!$J$10="no",BG74,BL74))</f>
        <v>2.104025718373506</v>
      </c>
      <c r="BC74" s="273">
        <f>IF(IF(Funds!$J$10="no",BH74,BM74)=0,NA(),IF(Funds!$J$10="no",BH74,BM74))</f>
        <v>1.7454805486241502E-2</v>
      </c>
      <c r="BD74" s="273">
        <f>IF(IF(Funds!$J$10="no",BI74,BN74)=0,NA(),IF(Funds!$J$10="no",BI74,BN74))</f>
        <v>-0.15142571381739592</v>
      </c>
      <c r="BE74" s="273">
        <f>IF(IF(Funds!$J$10="no",BJ74,BO74)=0,NA(),IF(Funds!$J$10="no",BJ74,BO74))</f>
        <v>-0.30679276384279885</v>
      </c>
      <c r="BF74" s="273">
        <f>IF(IF(Funds!$J$10="no",BK74,BP74)=0,NA(),IF(Funds!$J$10="no",BK74,BP74))</f>
        <v>-2.5531902633954595</v>
      </c>
      <c r="BG74" s="274">
        <f ca="1">Funds!$R$34</f>
        <v>2.5919346055080732</v>
      </c>
      <c r="BH74" s="274">
        <f ca="1">Funds!$R$36</f>
        <v>1.3378677483181089E-2</v>
      </c>
      <c r="BI74" s="274">
        <f ca="1">Funds!$R$38</f>
        <v>-0.15972963753204919</v>
      </c>
      <c r="BJ74" s="274">
        <f ca="1">Funds!$R$40</f>
        <v>-0.16887551350866659</v>
      </c>
      <c r="BK74" s="274">
        <f ca="1">Funds!$R$42</f>
        <v>-1.9222891726906419</v>
      </c>
      <c r="BL74" s="274">
        <f>INDEX(LINEST(AW15:AW74,'AC2'!$F15:$J74,1,1),1,1)</f>
        <v>2.104025718373506</v>
      </c>
      <c r="BM74" s="274">
        <f>INDEX(LINEST(AX15:AX74,'AC2'!$F15:$J74,1,1),1,1)</f>
        <v>1.7454805486241502E-2</v>
      </c>
      <c r="BN74" s="274">
        <f>INDEX(LINEST(AY15:AY74,'AC2'!$F15:$J74,1,1),1,1)</f>
        <v>-0.15142571381739592</v>
      </c>
      <c r="BO74" s="274">
        <f>INDEX(LINEST(AZ15:AZ74,'AC2'!$F15:$J74,1,1),1,1)</f>
        <v>-0.30679276384279885</v>
      </c>
      <c r="BP74" s="274">
        <f>INDEX(LINEST(BA15:BA74,'AC2'!$F15:$J74,1,1),1,1)</f>
        <v>-2.5531902633954595</v>
      </c>
      <c r="BR74" s="154" t="s">
        <v>102</v>
      </c>
      <c r="BS74" s="158">
        <v>-0.1182343</v>
      </c>
      <c r="BT74" s="154"/>
      <c r="BU74" s="154"/>
      <c r="BX74" s="154"/>
      <c r="BZ74" s="154"/>
      <c r="CA74" s="154"/>
      <c r="CB74" s="154"/>
      <c r="CE74" s="154"/>
      <c r="CG74" s="218"/>
      <c r="CH74" s="154" t="s">
        <v>126</v>
      </c>
      <c r="CI74" s="158">
        <v>4.8557400000000001E-2</v>
      </c>
      <c r="CJ74" s="153" t="e">
        <f t="shared" si="27"/>
        <v>#N/A</v>
      </c>
      <c r="CK74" s="153" t="s">
        <v>105</v>
      </c>
      <c r="CL74" s="158">
        <v>0.38617010000000002</v>
      </c>
      <c r="CM74" s="153" t="str">
        <f t="shared" si="28"/>
        <v>South Africa</v>
      </c>
      <c r="CN74" s="154"/>
      <c r="CO74" s="209" t="s">
        <v>106</v>
      </c>
      <c r="CP74" s="157">
        <v>8.0790600000000004E-2</v>
      </c>
      <c r="CQ74" s="210"/>
      <c r="CR74" s="209" t="s">
        <v>54</v>
      </c>
      <c r="CS74" s="158">
        <v>-0.17544999999999999</v>
      </c>
      <c r="CT74" s="154"/>
    </row>
    <row r="75" spans="6:98">
      <c r="F75" s="421">
        <v>42429</v>
      </c>
      <c r="G75" s="272">
        <f>BMG!F75</f>
        <v>3.0120999999999998E-2</v>
      </c>
      <c r="H75" s="272" t="e">
        <f>IF('Carbon Risk Factor BMG'!$G$10="yes",AVERAGE(AC!$G39:$G74),NA())</f>
        <v>#N/A</v>
      </c>
      <c r="I75" s="272" t="e">
        <f>IF('Carbon Risk Factor BMG'!$G$11="yes",MIN(AC!$G39:$G74),NA())</f>
        <v>#N/A</v>
      </c>
      <c r="J75" s="272" t="e">
        <f>IF('Carbon Risk Factor BMG'!$G$12="yes",MAX(AC!$G39:$G74),NA())</f>
        <v>#N/A</v>
      </c>
      <c r="K75" s="272" t="e">
        <f>IF('Carbon Risk Factor BMG'!$G$13="yes",_xlfn.STDEV.S(AC!$G39:$G74),NA())</f>
        <v>#N/A</v>
      </c>
      <c r="L75" s="272" t="e">
        <f>IF('Carbon Risk Factor BMG'!$G$14="yes",_xlfn.PERCENTILE.INC(AC!$G39:$G74,'Carbon Risk Factor BMG'!$H$14),NA())</f>
        <v>#N/A</v>
      </c>
      <c r="M75" s="272" t="e">
        <f>IF('Carbon Risk Factor BMG'!$G$15="yes",_xlfn.PERCENTILE.INC(AC!$G39:$G74,'Carbon Risk Factor BMG'!$H$15),NA())</f>
        <v>#N/A</v>
      </c>
      <c r="N75" s="272">
        <f t="shared" si="26"/>
        <v>-0.26341057615943375</v>
      </c>
      <c r="O75" s="272"/>
      <c r="P75" s="421">
        <v>42429</v>
      </c>
      <c r="Q75" s="154">
        <f>HLOOKUP(Q$1,'Asset Returns'!$F$1:$N$109,ROW(),0)</f>
        <v>-0.1177358403801918</v>
      </c>
      <c r="R75" s="154">
        <f>HLOOKUP(R$1,'Asset Returns'!$F$1:$N$109,ROW(),0)</f>
        <v>-0.12174665927886963</v>
      </c>
      <c r="S75" s="154">
        <f>HLOOKUP(S$1,'Asset Returns'!$F$1:$N$109,ROW(),0)</f>
        <v>-6.1399050056934357E-2</v>
      </c>
      <c r="T75" s="154">
        <f>HLOOKUP(T$1,'Asset Returns'!$F$1:$N$109,ROW(),0)</f>
        <v>6.0553766787052155E-2</v>
      </c>
      <c r="U75" s="154">
        <f>HLOOKUP(U$1,'Asset Returns'!$F$1:$N$109,ROW(),0)</f>
        <v>-4.4853877276182175E-2</v>
      </c>
      <c r="V75" s="273">
        <f>IF(IF(Equity!$J$10="no",AA75,AF75)=0,NA(),IF(Equity!$J$10="no",AA75,AF75))</f>
        <v>0.1959051347796312</v>
      </c>
      <c r="W75" s="273">
        <f>IF(IF(Equity!$J$10="no",AB75,AG75)=0,NA(),IF(Equity!$J$10="no",AB75,AG75))</f>
        <v>-1.3160415023471259</v>
      </c>
      <c r="X75" s="273">
        <f>IF(IF(Equity!$J$10="no",AC75,AH75)=0,NA(),IF(Equity!$J$10="no",AC75,AH75))</f>
        <v>1.0230552840293203</v>
      </c>
      <c r="Y75" s="273">
        <f>IF(IF(Equity!$J$10="no",AD75,AI75)=0,NA(),IF(Equity!$J$10="no",AD75,AI75))</f>
        <v>0.18827407854855205</v>
      </c>
      <c r="Z75" s="273">
        <f>IF(IF(Equity!$J$10="no",AE75,AJ75)=0,NA(),IF(Equity!$J$10="no",AE75,AJ75))</f>
        <v>-0.34361660229398983</v>
      </c>
      <c r="AA75" s="274">
        <f ca="1">Equity!$R$34</f>
        <v>0.64097224418739052</v>
      </c>
      <c r="AB75" s="274">
        <f ca="1">Equity!$R$36</f>
        <v>-0.78557102570241866</v>
      </c>
      <c r="AC75" s="274">
        <f ca="1">Equity!$R$38</f>
        <v>0.9378377404978776</v>
      </c>
      <c r="AD75" s="274">
        <f ca="1">Equity!$R$40</f>
        <v>0.17519882647973573</v>
      </c>
      <c r="AE75" s="274">
        <f ca="1">Equity!$R$42</f>
        <v>7.3760094442444454E-2</v>
      </c>
      <c r="AF75" s="274">
        <f>INDEX(LINEST(Q16:Q75,'AC2'!$F16:$J75,1,1),1,1)</f>
        <v>0.1959051347796312</v>
      </c>
      <c r="AG75" s="274">
        <f>INDEX(LINEST(R16:R75,'AC2'!$F16:$J75,1,1),1,1)</f>
        <v>-1.3160415023471259</v>
      </c>
      <c r="AH75" s="274">
        <f>INDEX(LINEST(S16:S75,'AC2'!$F16:$J75,1,1),1,1)</f>
        <v>1.0230552840293203</v>
      </c>
      <c r="AI75" s="274">
        <f>INDEX(LINEST(T16:T75,'AC2'!$F16:$J75,1,1),1,1)</f>
        <v>0.18827407854855205</v>
      </c>
      <c r="AJ75" s="274">
        <f>INDEX(LINEST(U16:U75,'AC2'!$F16:$J75,1,1),1,1)</f>
        <v>-0.34361660229398983</v>
      </c>
      <c r="AK75" s="274"/>
      <c r="AL75" s="421">
        <v>42429</v>
      </c>
      <c r="AM75" s="154">
        <f>HLOOKUP(AM$1,'Asset Returns'!$F$1:$ZS$109,ROW(),0)</f>
        <v>9.806898530800412E-3</v>
      </c>
      <c r="AN75" s="154">
        <f>HLOOKUP(AN$1,'Asset Returns'!$F$1:$ZS$109,ROW(),0)</f>
        <v>2.1958150348746486E-3</v>
      </c>
      <c r="AO75" s="273">
        <f ca="1">IF(IF(Bonds!$J$10="no",AQ75,AS75)=0,NA(),IF(Bonds!$J$10="no",AQ75,AS75))</f>
        <v>-0.12498736259259137</v>
      </c>
      <c r="AP75" s="273">
        <f ca="1">IF(IF(Bonds!$J$10="no",AR75,AT75)=0,NA(),IF(Bonds!$J$10="no",AR75,AT75))</f>
        <v>0.19970923689173462</v>
      </c>
      <c r="AQ75" s="273">
        <f ca="1">Bonds!$P$32</f>
        <v>-0.12498736259259137</v>
      </c>
      <c r="AR75" s="273">
        <f ca="1">Bonds!$P$34</f>
        <v>0.19970923689173462</v>
      </c>
      <c r="AS75" s="274">
        <f>INDEX(LINEST(AM16:AM75,'AC2'!$F16:$J75,1,1),1,1)</f>
        <v>0.29204959266453989</v>
      </c>
      <c r="AT75" s="274">
        <f>INDEX(LINEST(AN16:AN75,'AC2'!$F16:$J75,1,1),1,1)</f>
        <v>0.53074384502706651</v>
      </c>
      <c r="AU75" s="274"/>
      <c r="AV75" s="421">
        <v>42429</v>
      </c>
      <c r="AW75" s="154">
        <f>HLOOKUP(AW$1,'Asset Returns'!$F$1:$ZS$109,ROW(),0)</f>
        <v>0.25474250000000004</v>
      </c>
      <c r="AX75" s="154">
        <f>HLOOKUP(AX$1,'Asset Returns'!$F$1:$ZS$109,ROW(),0)</f>
        <v>-7.2236000000000002E-3</v>
      </c>
      <c r="AY75" s="154">
        <f>HLOOKUP(AY$1,'Asset Returns'!$F$1:$ZS$109,ROW(),0)</f>
        <v>1.3006660000000001E-2</v>
      </c>
      <c r="AZ75" s="154">
        <f>HLOOKUP(AZ$1,'Asset Returns'!$F$1:$ZS$109,ROW(),0)</f>
        <v>-7.6920200000000008E-3</v>
      </c>
      <c r="BA75" s="154">
        <f>HLOOKUP(BA$1,'Asset Returns'!$F$1:$ZS$109,ROW(),0)</f>
        <v>2.1034099999999997E-2</v>
      </c>
      <c r="BB75" s="273">
        <f>IF(IF(Funds!$J$10="no",BG75,BL75)=0,NA(),IF(Funds!$J$10="no",BG75,BL75))</f>
        <v>2.2895859500245672</v>
      </c>
      <c r="BC75" s="273">
        <f>IF(IF(Funds!$J$10="no",BH75,BM75)=0,NA(),IF(Funds!$J$10="no",BH75,BM75))</f>
        <v>1.4755398729942215E-2</v>
      </c>
      <c r="BD75" s="273">
        <f>IF(IF(Funds!$J$10="no",BI75,BN75)=0,NA(),IF(Funds!$J$10="no",BI75,BN75))</f>
        <v>-0.10373712296689445</v>
      </c>
      <c r="BE75" s="273">
        <f>IF(IF(Funds!$J$10="no",BJ75,BO75)=0,NA(),IF(Funds!$J$10="no",BJ75,BO75))</f>
        <v>-0.29754354594327148</v>
      </c>
      <c r="BF75" s="273">
        <f>IF(IF(Funds!$J$10="no",BK75,BP75)=0,NA(),IF(Funds!$J$10="no",BK75,BP75))</f>
        <v>-2.4391654779775798</v>
      </c>
      <c r="BG75" s="274">
        <f ca="1">Funds!$R$34</f>
        <v>2.5919346055080732</v>
      </c>
      <c r="BH75" s="274">
        <f ca="1">Funds!$R$36</f>
        <v>1.3378677483181089E-2</v>
      </c>
      <c r="BI75" s="274">
        <f ca="1">Funds!$R$38</f>
        <v>-0.15972963753204919</v>
      </c>
      <c r="BJ75" s="274">
        <f ca="1">Funds!$R$40</f>
        <v>-0.16887551350866659</v>
      </c>
      <c r="BK75" s="274">
        <f ca="1">Funds!$R$42</f>
        <v>-1.9222891726906419</v>
      </c>
      <c r="BL75" s="274">
        <f>INDEX(LINEST(AW16:AW75,'AC2'!$F16:$J75,1,1),1,1)</f>
        <v>2.2895859500245672</v>
      </c>
      <c r="BM75" s="274">
        <f>INDEX(LINEST(AX16:AX75,'AC2'!$F16:$J75,1,1),1,1)</f>
        <v>1.4755398729942215E-2</v>
      </c>
      <c r="BN75" s="274">
        <f>INDEX(LINEST(AY16:AY75,'AC2'!$F16:$J75,1,1),1,1)</f>
        <v>-0.10373712296689445</v>
      </c>
      <c r="BO75" s="274">
        <f>INDEX(LINEST(AZ16:AZ75,'AC2'!$F16:$J75,1,1),1,1)</f>
        <v>-0.29754354594327148</v>
      </c>
      <c r="BP75" s="274">
        <f>INDEX(LINEST(BA16:BA75,'AC2'!$F16:$J75,1,1),1,1)</f>
        <v>-2.4391654779775798</v>
      </c>
      <c r="BR75" s="154" t="s">
        <v>103</v>
      </c>
      <c r="BS75" s="158">
        <v>0.35806880000000002</v>
      </c>
      <c r="BT75" s="154"/>
      <c r="BU75" s="154"/>
      <c r="BX75" s="154"/>
      <c r="BZ75" s="154"/>
      <c r="CA75" s="154"/>
      <c r="CB75" s="154"/>
      <c r="CE75" s="154"/>
      <c r="CG75" s="218"/>
      <c r="CH75" s="154" t="s">
        <v>95</v>
      </c>
      <c r="CI75" s="158">
        <v>-0.55424770000000001</v>
      </c>
      <c r="CJ75" s="153" t="str">
        <f t="shared" si="27"/>
        <v>Sweden</v>
      </c>
      <c r="CK75" s="153" t="s">
        <v>68</v>
      </c>
      <c r="CL75" s="158">
        <v>3.5108599999999997E-2</v>
      </c>
      <c r="CM75" s="153" t="str">
        <f t="shared" si="28"/>
        <v>South Korea</v>
      </c>
      <c r="CN75" s="154"/>
      <c r="CO75" s="154"/>
      <c r="CP75" s="154"/>
      <c r="CR75" s="154" t="s">
        <v>104</v>
      </c>
      <c r="CS75" s="158">
        <v>-0.1703597</v>
      </c>
      <c r="CT75" s="154"/>
    </row>
    <row r="76" spans="6:98">
      <c r="F76" s="421">
        <v>42460</v>
      </c>
      <c r="G76" s="272">
        <f>BMG!F76</f>
        <v>1.9468699999999999E-2</v>
      </c>
      <c r="H76" s="272" t="e">
        <f>IF('Carbon Risk Factor BMG'!$G$10="yes",AVERAGE(AC!$G40:$G75),NA())</f>
        <v>#N/A</v>
      </c>
      <c r="I76" s="272" t="e">
        <f>IF('Carbon Risk Factor BMG'!$G$11="yes",MIN(AC!$G40:$G75),NA())</f>
        <v>#N/A</v>
      </c>
      <c r="J76" s="272" t="e">
        <f>IF('Carbon Risk Factor BMG'!$G$12="yes",MAX(AC!$G40:$G75),NA())</f>
        <v>#N/A</v>
      </c>
      <c r="K76" s="272" t="e">
        <f>IF('Carbon Risk Factor BMG'!$G$13="yes",_xlfn.STDEV.S(AC!$G40:$G75),NA())</f>
        <v>#N/A</v>
      </c>
      <c r="L76" s="272" t="e">
        <f>IF('Carbon Risk Factor BMG'!$G$14="yes",_xlfn.PERCENTILE.INC(AC!$G40:$G75,'Carbon Risk Factor BMG'!$H$14),NA())</f>
        <v>#N/A</v>
      </c>
      <c r="M76" s="272" t="e">
        <f>IF('Carbon Risk Factor BMG'!$G$15="yes",_xlfn.PERCENTILE.INC(AC!$G40:$G75,'Carbon Risk Factor BMG'!$H$15),NA())</f>
        <v>#N/A</v>
      </c>
      <c r="N76" s="272">
        <f t="shared" si="26"/>
        <v>-0.24907013764350894</v>
      </c>
      <c r="O76" s="272"/>
      <c r="P76" s="421">
        <v>42460</v>
      </c>
      <c r="Q76" s="154">
        <f>HLOOKUP(Q$1,'Asset Returns'!$F$1:$N$109,ROW(),0)</f>
        <v>0.33265897631645203</v>
      </c>
      <c r="R76" s="154">
        <f>HLOOKUP(R$1,'Asset Returns'!$F$1:$N$109,ROW(),0)</f>
        <v>3.1554039567708969E-2</v>
      </c>
      <c r="S76" s="154">
        <f>HLOOKUP(S$1,'Asset Returns'!$F$1:$N$109,ROW(),0)</f>
        <v>2.7346890419721603E-2</v>
      </c>
      <c r="T76" s="154">
        <f>HLOOKUP(T$1,'Asset Returns'!$F$1:$N$109,ROW(),0)</f>
        <v>0.15564216673374176</v>
      </c>
      <c r="U76" s="154">
        <f>HLOOKUP(U$1,'Asset Returns'!$F$1:$N$109,ROW(),0)</f>
        <v>0.10138543695211411</v>
      </c>
      <c r="V76" s="273">
        <f>IF(IF(Equity!$J$10="no",AA76,AF76)=0,NA(),IF(Equity!$J$10="no",AA76,AF76))</f>
        <v>0.21631144939654476</v>
      </c>
      <c r="W76" s="273">
        <f>IF(IF(Equity!$J$10="no",AB76,AG76)=0,NA(),IF(Equity!$J$10="no",AB76,AG76))</f>
        <v>-1.2833104115234386</v>
      </c>
      <c r="X76" s="273">
        <f>IF(IF(Equity!$J$10="no",AC76,AH76)=0,NA(),IF(Equity!$J$10="no",AC76,AH76))</f>
        <v>1.000871870496727</v>
      </c>
      <c r="Y76" s="273">
        <f>IF(IF(Equity!$J$10="no",AD76,AI76)=0,NA(),IF(Equity!$J$10="no",AD76,AI76))</f>
        <v>0.24504810108899494</v>
      </c>
      <c r="Z76" s="273">
        <f>IF(IF(Equity!$J$10="no",AE76,AJ76)=0,NA(),IF(Equity!$J$10="no",AE76,AJ76))</f>
        <v>-0.32469318808918712</v>
      </c>
      <c r="AA76" s="274">
        <f ca="1">Equity!$R$34</f>
        <v>0.64097224418739052</v>
      </c>
      <c r="AB76" s="274">
        <f ca="1">Equity!$R$36</f>
        <v>-0.78557102570241866</v>
      </c>
      <c r="AC76" s="274">
        <f ca="1">Equity!$R$38</f>
        <v>0.9378377404978776</v>
      </c>
      <c r="AD76" s="274">
        <f ca="1">Equity!$R$40</f>
        <v>0.17519882647973573</v>
      </c>
      <c r="AE76" s="274">
        <f ca="1">Equity!$R$42</f>
        <v>7.3760094442444454E-2</v>
      </c>
      <c r="AF76" s="274">
        <f>INDEX(LINEST(Q17:Q76,'AC2'!$F17:$J76,1,1),1,1)</f>
        <v>0.21631144939654476</v>
      </c>
      <c r="AG76" s="274">
        <f>INDEX(LINEST(R17:R76,'AC2'!$F17:$J76,1,1),1,1)</f>
        <v>-1.2833104115234386</v>
      </c>
      <c r="AH76" s="274">
        <f>INDEX(LINEST(S17:S76,'AC2'!$F17:$J76,1,1),1,1)</f>
        <v>1.000871870496727</v>
      </c>
      <c r="AI76" s="274">
        <f>INDEX(LINEST(T17:T76,'AC2'!$F17:$J76,1,1),1,1)</f>
        <v>0.24504810108899494</v>
      </c>
      <c r="AJ76" s="274">
        <f>INDEX(LINEST(U17:U76,'AC2'!$F17:$J76,1,1),1,1)</f>
        <v>-0.32469318808918712</v>
      </c>
      <c r="AK76" s="274"/>
      <c r="AL76" s="421">
        <v>42460</v>
      </c>
      <c r="AM76" s="154">
        <f>HLOOKUP(AM$1,'Asset Returns'!$F$1:$ZS$109,ROW(),0)</f>
        <v>1.1532386510082482E-3</v>
      </c>
      <c r="AN76" s="154">
        <f>HLOOKUP(AN$1,'Asset Returns'!$F$1:$ZS$109,ROW(),0)</f>
        <v>6.4717470955386602E-3</v>
      </c>
      <c r="AO76" s="273">
        <f ca="1">IF(IF(Bonds!$J$10="no",AQ76,AS76)=0,NA(),IF(Bonds!$J$10="no",AQ76,AS76))</f>
        <v>-0.12498736259259137</v>
      </c>
      <c r="AP76" s="273">
        <f ca="1">IF(IF(Bonds!$J$10="no",AR76,AT76)=0,NA(),IF(Bonds!$J$10="no",AR76,AT76))</f>
        <v>0.19970923689173462</v>
      </c>
      <c r="AQ76" s="273">
        <f ca="1">Bonds!$P$32</f>
        <v>-0.12498736259259137</v>
      </c>
      <c r="AR76" s="273">
        <f ca="1">Bonds!$P$34</f>
        <v>0.19970923689173462</v>
      </c>
      <c r="AS76" s="274">
        <f>INDEX(LINEST(AM17:AM76,'AC2'!$F17:$J76,1,1),1,1)</f>
        <v>0.30305958254760029</v>
      </c>
      <c r="AT76" s="274">
        <f>INDEX(LINEST(AN17:AN76,'AC2'!$F17:$J76,1,1),1,1)</f>
        <v>0.54711020820012668</v>
      </c>
      <c r="AU76" s="274"/>
      <c r="AV76" s="421">
        <v>42460</v>
      </c>
      <c r="AW76" s="154">
        <f>HLOOKUP(AW$1,'Asset Returns'!$F$1:$ZS$109,ROW(),0)</f>
        <v>9.9352099999999999E-2</v>
      </c>
      <c r="AX76" s="154">
        <f>HLOOKUP(AX$1,'Asset Returns'!$F$1:$ZS$109,ROW(),0)</f>
        <v>6.74014E-2</v>
      </c>
      <c r="AY76" s="154">
        <f>HLOOKUP(AY$1,'Asset Returns'!$F$1:$ZS$109,ROW(),0)</f>
        <v>7.6968120000000001E-2</v>
      </c>
      <c r="AZ76" s="154">
        <f>HLOOKUP(AZ$1,'Asset Returns'!$F$1:$ZS$109,ROW(),0)</f>
        <v>7.5480749999999999E-2</v>
      </c>
      <c r="BA76" s="154">
        <f>HLOOKUP(BA$1,'Asset Returns'!$F$1:$ZS$109,ROW(),0)</f>
        <v>-0.18487510000000001</v>
      </c>
      <c r="BB76" s="273">
        <f>IF(IF(Funds!$J$10="no",BG76,BL76)=0,NA(),IF(Funds!$J$10="no",BG76,BL76))</f>
        <v>2.2926503549997586</v>
      </c>
      <c r="BC76" s="273">
        <f>IF(IF(Funds!$J$10="no",BH76,BM76)=0,NA(),IF(Funds!$J$10="no",BH76,BM76))</f>
        <v>1.7212332406305327E-2</v>
      </c>
      <c r="BD76" s="273">
        <f>IF(IF(Funds!$J$10="no",BI76,BN76)=0,NA(),IF(Funds!$J$10="no",BI76,BN76))</f>
        <v>-0.11525680361904378</v>
      </c>
      <c r="BE76" s="273">
        <f>IF(IF(Funds!$J$10="no",BJ76,BO76)=0,NA(),IF(Funds!$J$10="no",BJ76,BO76))</f>
        <v>-0.2911083480885937</v>
      </c>
      <c r="BF76" s="273">
        <f>IF(IF(Funds!$J$10="no",BK76,BP76)=0,NA(),IF(Funds!$J$10="no",BK76,BP76))</f>
        <v>-2.4153371619056685</v>
      </c>
      <c r="BG76" s="274">
        <f ca="1">Funds!$R$34</f>
        <v>2.5919346055080732</v>
      </c>
      <c r="BH76" s="274">
        <f ca="1">Funds!$R$36</f>
        <v>1.3378677483181089E-2</v>
      </c>
      <c r="BI76" s="274">
        <f ca="1">Funds!$R$38</f>
        <v>-0.15972963753204919</v>
      </c>
      <c r="BJ76" s="274">
        <f ca="1">Funds!$R$40</f>
        <v>-0.16887551350866659</v>
      </c>
      <c r="BK76" s="274">
        <f ca="1">Funds!$R$42</f>
        <v>-1.9222891726906419</v>
      </c>
      <c r="BL76" s="274">
        <f>INDEX(LINEST(AW17:AW76,'AC2'!$F17:$J76,1,1),1,1)</f>
        <v>2.2926503549997586</v>
      </c>
      <c r="BM76" s="274">
        <f>INDEX(LINEST(AX17:AX76,'AC2'!$F17:$J76,1,1),1,1)</f>
        <v>1.7212332406305327E-2</v>
      </c>
      <c r="BN76" s="274">
        <f>INDEX(LINEST(AY17:AY76,'AC2'!$F17:$J76,1,1),1,1)</f>
        <v>-0.11525680361904378</v>
      </c>
      <c r="BO76" s="274">
        <f>INDEX(LINEST(AZ17:AZ76,'AC2'!$F17:$J76,1,1),1,1)</f>
        <v>-0.2911083480885937</v>
      </c>
      <c r="BP76" s="274">
        <f>INDEX(LINEST(BA17:BA76,'AC2'!$F17:$J76,1,1),1,1)</f>
        <v>-2.4153371619056685</v>
      </c>
      <c r="BR76" s="154" t="s">
        <v>104</v>
      </c>
      <c r="BS76" s="158">
        <v>-5.5820399999999999E-2</v>
      </c>
      <c r="BT76" s="154"/>
      <c r="BU76" s="154"/>
      <c r="BX76" s="154"/>
      <c r="BZ76" s="154"/>
      <c r="CA76" s="154"/>
      <c r="CB76" s="154"/>
      <c r="CE76" s="154"/>
      <c r="CG76" s="218"/>
      <c r="CH76" s="154" t="s">
        <v>40</v>
      </c>
      <c r="CI76" s="158">
        <v>-0.35710449999999999</v>
      </c>
      <c r="CJ76" s="153" t="str">
        <f t="shared" si="27"/>
        <v>Switzerland</v>
      </c>
      <c r="CK76" s="153" t="s">
        <v>51</v>
      </c>
      <c r="CL76" s="158">
        <v>-0.8180963</v>
      </c>
      <c r="CM76" s="153" t="str">
        <f t="shared" si="28"/>
        <v>Spain</v>
      </c>
      <c r="CN76" s="154"/>
      <c r="CO76" s="154"/>
      <c r="CP76" s="154"/>
      <c r="CR76" s="154" t="s">
        <v>106</v>
      </c>
      <c r="CS76" s="158">
        <v>0.21311550000000001</v>
      </c>
      <c r="CT76" s="154"/>
    </row>
    <row r="77" spans="6:98">
      <c r="F77" s="421">
        <v>42490</v>
      </c>
      <c r="G77" s="272">
        <f>BMG!F77</f>
        <v>3.6406000000000001E-2</v>
      </c>
      <c r="H77" s="272" t="e">
        <f>IF('Carbon Risk Factor BMG'!$G$10="yes",AVERAGE(AC!$G41:$G76),NA())</f>
        <v>#N/A</v>
      </c>
      <c r="I77" s="272" t="e">
        <f>IF('Carbon Risk Factor BMG'!$G$11="yes",MIN(AC!$G41:$G76),NA())</f>
        <v>#N/A</v>
      </c>
      <c r="J77" s="272" t="e">
        <f>IF('Carbon Risk Factor BMG'!$G$12="yes",MAX(AC!$G41:$G76),NA())</f>
        <v>#N/A</v>
      </c>
      <c r="K77" s="272" t="e">
        <f>IF('Carbon Risk Factor BMG'!$G$13="yes",_xlfn.STDEV.S(AC!$G41:$G76),NA())</f>
        <v>#N/A</v>
      </c>
      <c r="L77" s="272" t="e">
        <f>IF('Carbon Risk Factor BMG'!$G$14="yes",_xlfn.PERCENTILE.INC(AC!$G41:$G76,'Carbon Risk Factor BMG'!$H$14),NA())</f>
        <v>#N/A</v>
      </c>
      <c r="M77" s="272" t="e">
        <f>IF('Carbon Risk Factor BMG'!$G$15="yes",_xlfn.PERCENTILE.INC(AC!$G41:$G76,'Carbon Risk Factor BMG'!$H$15),NA())</f>
        <v>#N/A</v>
      </c>
      <c r="N77" s="272">
        <f t="shared" si="26"/>
        <v>-0.2217317850745586</v>
      </c>
      <c r="O77" s="272"/>
      <c r="P77" s="421">
        <v>42490</v>
      </c>
      <c r="Q77" s="154">
        <f>HLOOKUP(Q$1,'Asset Returns'!$F$1:$N$109,ROW(),0)</f>
        <v>5.4447613656520844E-2</v>
      </c>
      <c r="R77" s="154">
        <f>HLOOKUP(R$1,'Asset Returns'!$F$1:$N$109,ROW(),0)</f>
        <v>-2.2234125062823296E-3</v>
      </c>
      <c r="S77" s="154">
        <f>HLOOKUP(S$1,'Asset Returns'!$F$1:$N$109,ROW(),0)</f>
        <v>8.7798930704593658E-2</v>
      </c>
      <c r="T77" s="154">
        <f>HLOOKUP(T$1,'Asset Returns'!$F$1:$N$109,ROW(),0)</f>
        <v>-3.6481641232967377E-2</v>
      </c>
      <c r="U77" s="154">
        <f>HLOOKUP(U$1,'Asset Returns'!$F$1:$N$109,ROW(),0)</f>
        <v>4.3776119127869606E-3</v>
      </c>
      <c r="V77" s="273">
        <f>IF(IF(Equity!$J$10="no",AA77,AF77)=0,NA(),IF(Equity!$J$10="no",AA77,AF77))</f>
        <v>0.13030004212104102</v>
      </c>
      <c r="W77" s="273">
        <f>IF(IF(Equity!$J$10="no",AB77,AG77)=0,NA(),IF(Equity!$J$10="no",AB77,AG77))</f>
        <v>-1.3083211297136828</v>
      </c>
      <c r="X77" s="273">
        <f>IF(IF(Equity!$J$10="no",AC77,AH77)=0,NA(),IF(Equity!$J$10="no",AC77,AH77))</f>
        <v>1.0478907249133871</v>
      </c>
      <c r="Y77" s="273">
        <f>IF(IF(Equity!$J$10="no",AD77,AI77)=0,NA(),IF(Equity!$J$10="no",AD77,AI77))</f>
        <v>0.18044385851960348</v>
      </c>
      <c r="Z77" s="273">
        <f>IF(IF(Equity!$J$10="no",AE77,AJ77)=0,NA(),IF(Equity!$J$10="no",AE77,AJ77))</f>
        <v>-0.38167774127600329</v>
      </c>
      <c r="AA77" s="274">
        <f ca="1">Equity!$R$34</f>
        <v>0.64097224418739052</v>
      </c>
      <c r="AB77" s="274">
        <f ca="1">Equity!$R$36</f>
        <v>-0.78557102570241866</v>
      </c>
      <c r="AC77" s="274">
        <f ca="1">Equity!$R$38</f>
        <v>0.9378377404978776</v>
      </c>
      <c r="AD77" s="274">
        <f ca="1">Equity!$R$40</f>
        <v>0.17519882647973573</v>
      </c>
      <c r="AE77" s="274">
        <f ca="1">Equity!$R$42</f>
        <v>7.3760094442444454E-2</v>
      </c>
      <c r="AF77" s="274">
        <f>INDEX(LINEST(Q18:Q77,'AC2'!$F18:$J77,1,1),1,1)</f>
        <v>0.13030004212104102</v>
      </c>
      <c r="AG77" s="274">
        <f>INDEX(LINEST(R18:R77,'AC2'!$F18:$J77,1,1),1,1)</f>
        <v>-1.3083211297136828</v>
      </c>
      <c r="AH77" s="274">
        <f>INDEX(LINEST(S18:S77,'AC2'!$F18:$J77,1,1),1,1)</f>
        <v>1.0478907249133871</v>
      </c>
      <c r="AI77" s="274">
        <f>INDEX(LINEST(T18:T77,'AC2'!$F18:$J77,1,1),1,1)</f>
        <v>0.18044385851960348</v>
      </c>
      <c r="AJ77" s="274">
        <f>INDEX(LINEST(U18:U77,'AC2'!$F18:$J77,1,1),1,1)</f>
        <v>-0.38167774127600329</v>
      </c>
      <c r="AK77" s="274"/>
      <c r="AL77" s="421">
        <v>42490</v>
      </c>
      <c r="AM77" s="154">
        <f>HLOOKUP(AM$1,'Asset Returns'!$F$1:$ZS$109,ROW(),0)</f>
        <v>-8.8324119151746983E-3</v>
      </c>
      <c r="AN77" s="154">
        <f>HLOOKUP(AN$1,'Asset Returns'!$F$1:$ZS$109,ROW(),0)</f>
        <v>1.7932113163021901E-2</v>
      </c>
      <c r="AO77" s="273">
        <f ca="1">IF(IF(Bonds!$J$10="no",AQ77,AS77)=0,NA(),IF(Bonds!$J$10="no",AQ77,AS77))</f>
        <v>-0.12498736259259137</v>
      </c>
      <c r="AP77" s="273">
        <f ca="1">IF(IF(Bonds!$J$10="no",AR77,AT77)=0,NA(),IF(Bonds!$J$10="no",AR77,AT77))</f>
        <v>0.19970923689173462</v>
      </c>
      <c r="AQ77" s="273">
        <f ca="1">Bonds!$P$32</f>
        <v>-0.12498736259259137</v>
      </c>
      <c r="AR77" s="273">
        <f ca="1">Bonds!$P$34</f>
        <v>0.19970923689173462</v>
      </c>
      <c r="AS77" s="274">
        <f>INDEX(LINEST(AM18:AM77,'AC2'!$F18:$J77,1,1),1,1)</f>
        <v>0.30145796243916578</v>
      </c>
      <c r="AT77" s="274">
        <f>INDEX(LINEST(AN18:AN77,'AC2'!$F18:$J77,1,1),1,1)</f>
        <v>0.58505596925132053</v>
      </c>
      <c r="AU77" s="274"/>
      <c r="AV77" s="421">
        <v>42490</v>
      </c>
      <c r="AW77" s="154">
        <f>HLOOKUP(AW$1,'Asset Returns'!$F$1:$ZS$109,ROW(),0)</f>
        <v>0.31630649999999999</v>
      </c>
      <c r="AX77" s="154">
        <f>HLOOKUP(AX$1,'Asset Returns'!$F$1:$ZS$109,ROW(),0)</f>
        <v>1.64318E-2</v>
      </c>
      <c r="AY77" s="154">
        <f>HLOOKUP(AY$1,'Asset Returns'!$F$1:$ZS$109,ROW(),0)</f>
        <v>4.4218219999999996E-2</v>
      </c>
      <c r="AZ77" s="154">
        <f>HLOOKUP(AZ$1,'Asset Returns'!$F$1:$ZS$109,ROW(),0)</f>
        <v>4.8280299999999996E-3</v>
      </c>
      <c r="BA77" s="154">
        <f>HLOOKUP(BA$1,'Asset Returns'!$F$1:$ZS$109,ROW(),0)</f>
        <v>-0.1705527</v>
      </c>
      <c r="BB77" s="273">
        <f>IF(IF(Funds!$J$10="no",BG77,BL77)=0,NA(),IF(Funds!$J$10="no",BG77,BL77))</f>
        <v>2.5765898180612581</v>
      </c>
      <c r="BC77" s="273">
        <f>IF(IF(Funds!$J$10="no",BH77,BM77)=0,NA(),IF(Funds!$J$10="no",BH77,BM77))</f>
        <v>1.6567663620909074E-2</v>
      </c>
      <c r="BD77" s="273">
        <f>IF(IF(Funds!$J$10="no",BI77,BN77)=0,NA(),IF(Funds!$J$10="no",BI77,BN77))</f>
        <v>-7.3497424412854895E-2</v>
      </c>
      <c r="BE77" s="273">
        <f>IF(IF(Funds!$J$10="no",BJ77,BO77)=0,NA(),IF(Funds!$J$10="no",BJ77,BO77))</f>
        <v>-0.29084774354703929</v>
      </c>
      <c r="BF77" s="273">
        <f>IF(IF(Funds!$J$10="no",BK77,BP77)=0,NA(),IF(Funds!$J$10="no",BK77,BP77))</f>
        <v>-2.4382199282869301</v>
      </c>
      <c r="BG77" s="274">
        <f ca="1">Funds!$R$34</f>
        <v>2.5919346055080732</v>
      </c>
      <c r="BH77" s="274">
        <f ca="1">Funds!$R$36</f>
        <v>1.3378677483181089E-2</v>
      </c>
      <c r="BI77" s="274">
        <f ca="1">Funds!$R$38</f>
        <v>-0.15972963753204919</v>
      </c>
      <c r="BJ77" s="274">
        <f ca="1">Funds!$R$40</f>
        <v>-0.16887551350866659</v>
      </c>
      <c r="BK77" s="274">
        <f ca="1">Funds!$R$42</f>
        <v>-1.9222891726906419</v>
      </c>
      <c r="BL77" s="274">
        <f>INDEX(LINEST(AW18:AW77,'AC2'!$F18:$J77,1,1),1,1)</f>
        <v>2.5765898180612581</v>
      </c>
      <c r="BM77" s="274">
        <f>INDEX(LINEST(AX18:AX77,'AC2'!$F18:$J77,1,1),1,1)</f>
        <v>1.6567663620909074E-2</v>
      </c>
      <c r="BN77" s="274">
        <f>INDEX(LINEST(AY18:AY77,'AC2'!$F18:$J77,1,1),1,1)</f>
        <v>-7.3497424412854895E-2</v>
      </c>
      <c r="BO77" s="274">
        <f>INDEX(LINEST(AZ18:AZ77,'AC2'!$F18:$J77,1,1),1,1)</f>
        <v>-0.29084774354703929</v>
      </c>
      <c r="BP77" s="274">
        <f>INDEX(LINEST(BA18:BA77,'AC2'!$F18:$J77,1,1),1,1)</f>
        <v>-2.4382199282869301</v>
      </c>
      <c r="BR77" s="154" t="s">
        <v>105</v>
      </c>
      <c r="BS77" s="158">
        <v>0.43264089999999999</v>
      </c>
      <c r="BT77" s="154"/>
      <c r="BU77" s="154"/>
      <c r="BX77" s="154"/>
      <c r="BZ77" s="154"/>
      <c r="CA77" s="154"/>
      <c r="CB77" s="154"/>
      <c r="CE77" s="154"/>
      <c r="CG77" s="218"/>
      <c r="CH77" s="154" t="s">
        <v>101</v>
      </c>
      <c r="CI77" s="158">
        <v>0.11282440000000001</v>
      </c>
      <c r="CJ77" s="153" t="str">
        <f t="shared" si="27"/>
        <v>Taiwan</v>
      </c>
      <c r="CK77" s="153" t="s">
        <v>71</v>
      </c>
      <c r="CL77" s="158">
        <v>5.1832099999999999E-2</v>
      </c>
      <c r="CM77" s="153" t="str">
        <f t="shared" si="28"/>
        <v>Sri Lanka</v>
      </c>
      <c r="CN77" s="154"/>
      <c r="CO77" s="154"/>
      <c r="CP77" s="154"/>
      <c r="CR77" s="154" t="s">
        <v>103</v>
      </c>
      <c r="CS77" s="158">
        <v>0.20373260000000001</v>
      </c>
      <c r="CT77" s="154"/>
    </row>
    <row r="78" spans="6:98">
      <c r="F78" s="421">
        <v>42521</v>
      </c>
      <c r="G78" s="272">
        <f>BMG!F78</f>
        <v>-2.05615E-2</v>
      </c>
      <c r="H78" s="272" t="e">
        <f>IF('Carbon Risk Factor BMG'!$G$10="yes",AVERAGE(AC!$G42:$G77),NA())</f>
        <v>#N/A</v>
      </c>
      <c r="I78" s="272" t="e">
        <f>IF('Carbon Risk Factor BMG'!$G$11="yes",MIN(AC!$G42:$G77),NA())</f>
        <v>#N/A</v>
      </c>
      <c r="J78" s="272" t="e">
        <f>IF('Carbon Risk Factor BMG'!$G$12="yes",MAX(AC!$G42:$G77),NA())</f>
        <v>#N/A</v>
      </c>
      <c r="K78" s="272" t="e">
        <f>IF('Carbon Risk Factor BMG'!$G$13="yes",_xlfn.STDEV.S(AC!$G42:$G77),NA())</f>
        <v>#N/A</v>
      </c>
      <c r="L78" s="272" t="e">
        <f>IF('Carbon Risk Factor BMG'!$G$14="yes",_xlfn.PERCENTILE.INC(AC!$G42:$G77,'Carbon Risk Factor BMG'!$H$14),NA())</f>
        <v>#N/A</v>
      </c>
      <c r="M78" s="272" t="e">
        <f>IF('Carbon Risk Factor BMG'!$G$15="yes",_xlfn.PERCENTILE.INC(AC!$G42:$G77,'Carbon Risk Factor BMG'!$H$15),NA())</f>
        <v>#N/A</v>
      </c>
      <c r="N78" s="272">
        <f t="shared" si="26"/>
        <v>-0.23773414697574802</v>
      </c>
      <c r="O78" s="272"/>
      <c r="P78" s="421">
        <v>42521</v>
      </c>
      <c r="Q78" s="154">
        <f>HLOOKUP(Q$1,'Asset Returns'!$F$1:$N$109,ROW(),0)</f>
        <v>0.1095508337020874</v>
      </c>
      <c r="R78" s="154">
        <f>HLOOKUP(R$1,'Asset Returns'!$F$1:$N$109,ROW(),0)</f>
        <v>-1.3342160731554031E-2</v>
      </c>
      <c r="S78" s="154">
        <f>HLOOKUP(S$1,'Asset Returns'!$F$1:$N$109,ROW(),0)</f>
        <v>-3.2051544636487961E-2</v>
      </c>
      <c r="T78" s="154">
        <f>HLOOKUP(T$1,'Asset Returns'!$F$1:$N$109,ROW(),0)</f>
        <v>6.3359692692756653E-2</v>
      </c>
      <c r="U78" s="154">
        <f>HLOOKUP(U$1,'Asset Returns'!$F$1:$N$109,ROW(),0)</f>
        <v>5.5620651692152023E-2</v>
      </c>
      <c r="V78" s="273">
        <f>IF(IF(Equity!$J$10="no",AA78,AF78)=0,NA(),IF(Equity!$J$10="no",AA78,AF78))</f>
        <v>7.8586316430262704E-2</v>
      </c>
      <c r="W78" s="273">
        <f>IF(IF(Equity!$J$10="no",AB78,AG78)=0,NA(),IF(Equity!$J$10="no",AB78,AG78))</f>
        <v>-1.2894645831465317</v>
      </c>
      <c r="X78" s="273">
        <f>IF(IF(Equity!$J$10="no",AC78,AH78)=0,NA(),IF(Equity!$J$10="no",AC78,AH78))</f>
        <v>1.0556231415604478</v>
      </c>
      <c r="Y78" s="273">
        <f>IF(IF(Equity!$J$10="no",AD78,AI78)=0,NA(),IF(Equity!$J$10="no",AD78,AI78))</f>
        <v>0.15684877974251113</v>
      </c>
      <c r="Z78" s="273">
        <f>IF(IF(Equity!$J$10="no",AE78,AJ78)=0,NA(),IF(Equity!$J$10="no",AE78,AJ78))</f>
        <v>-0.38456247266916438</v>
      </c>
      <c r="AA78" s="274">
        <f ca="1">Equity!$R$34</f>
        <v>0.64097224418739052</v>
      </c>
      <c r="AB78" s="274">
        <f ca="1">Equity!$R$36</f>
        <v>-0.78557102570241866</v>
      </c>
      <c r="AC78" s="274">
        <f ca="1">Equity!$R$38</f>
        <v>0.9378377404978776</v>
      </c>
      <c r="AD78" s="274">
        <f ca="1">Equity!$R$40</f>
        <v>0.17519882647973573</v>
      </c>
      <c r="AE78" s="274">
        <f ca="1">Equity!$R$42</f>
        <v>7.3760094442444454E-2</v>
      </c>
      <c r="AF78" s="274">
        <f>INDEX(LINEST(Q19:Q78,'AC2'!$F19:$J78,1,1),1,1)</f>
        <v>7.8586316430262704E-2</v>
      </c>
      <c r="AG78" s="274">
        <f>INDEX(LINEST(R19:R78,'AC2'!$F19:$J78,1,1),1,1)</f>
        <v>-1.2894645831465317</v>
      </c>
      <c r="AH78" s="274">
        <f>INDEX(LINEST(S19:S78,'AC2'!$F19:$J78,1,1),1,1)</f>
        <v>1.0556231415604478</v>
      </c>
      <c r="AI78" s="274">
        <f>INDEX(LINEST(T19:T78,'AC2'!$F19:$J78,1,1),1,1)</f>
        <v>0.15684877974251113</v>
      </c>
      <c r="AJ78" s="274">
        <f>INDEX(LINEST(U19:U78,'AC2'!$F19:$J78,1,1),1,1)</f>
        <v>-0.38456247266916438</v>
      </c>
      <c r="AK78" s="274"/>
      <c r="AL78" s="421">
        <v>42521</v>
      </c>
      <c r="AM78" s="154">
        <f>HLOOKUP(AM$1,'Asset Returns'!$F$1:$ZS$109,ROW(),0)</f>
        <v>-6.4202677997595714E-3</v>
      </c>
      <c r="AN78" s="154">
        <f>HLOOKUP(AN$1,'Asset Returns'!$F$1:$ZS$109,ROW(),0)</f>
        <v>1.541475161627992E-2</v>
      </c>
      <c r="AO78" s="273">
        <f ca="1">IF(IF(Bonds!$J$10="no",AQ78,AS78)=0,NA(),IF(Bonds!$J$10="no",AQ78,AS78))</f>
        <v>-0.12498736259259137</v>
      </c>
      <c r="AP78" s="273">
        <f ca="1">IF(IF(Bonds!$J$10="no",AR78,AT78)=0,NA(),IF(Bonds!$J$10="no",AR78,AT78))</f>
        <v>0.19970923689173462</v>
      </c>
      <c r="AQ78" s="273">
        <f ca="1">Bonds!$P$32</f>
        <v>-0.12498736259259137</v>
      </c>
      <c r="AR78" s="273">
        <f ca="1">Bonds!$P$34</f>
        <v>0.19970923689173462</v>
      </c>
      <c r="AS78" s="274">
        <f>INDEX(LINEST(AM19:AM78,'AC2'!$F19:$J78,1,1),1,1)</f>
        <v>0.30872537621676632</v>
      </c>
      <c r="AT78" s="274">
        <f>INDEX(LINEST(AN19:AN78,'AC2'!$F19:$J78,1,1),1,1)</f>
        <v>0.58577144750587717</v>
      </c>
      <c r="AU78" s="274"/>
      <c r="AV78" s="421">
        <v>42521</v>
      </c>
      <c r="AW78" s="154">
        <f>HLOOKUP(AW$1,'Asset Returns'!$F$1:$ZS$109,ROW(),0)</f>
        <v>-1.04478E-2</v>
      </c>
      <c r="AX78" s="154">
        <f>HLOOKUP(AX$1,'Asset Returns'!$F$1:$ZS$109,ROW(),0)</f>
        <v>5.5245999999999993E-3</v>
      </c>
      <c r="AY78" s="154">
        <f>HLOOKUP(AY$1,'Asset Returns'!$F$1:$ZS$109,ROW(),0)</f>
        <v>-1.545993E-2</v>
      </c>
      <c r="AZ78" s="154">
        <f>HLOOKUP(AZ$1,'Asset Returns'!$F$1:$ZS$109,ROW(),0)</f>
        <v>5.2084399999999999E-3</v>
      </c>
      <c r="BA78" s="154">
        <f>HLOOKUP(BA$1,'Asset Returns'!$F$1:$ZS$109,ROW(),0)</f>
        <v>1.5726400000000001E-2</v>
      </c>
      <c r="BB78" s="273">
        <f>IF(IF(Funds!$J$10="no",BG78,BL78)=0,NA(),IF(Funds!$J$10="no",BG78,BL78))</f>
        <v>2.5548750092733061</v>
      </c>
      <c r="BC78" s="273">
        <f>IF(IF(Funds!$J$10="no",BH78,BM78)=0,NA(),IF(Funds!$J$10="no",BH78,BM78))</f>
        <v>1.6269652506521081E-2</v>
      </c>
      <c r="BD78" s="273">
        <f>IF(IF(Funds!$J$10="no",BI78,BN78)=0,NA(),IF(Funds!$J$10="no",BI78,BN78))</f>
        <v>-7.0953612741582253E-2</v>
      </c>
      <c r="BE78" s="273">
        <f>IF(IF(Funds!$J$10="no",BJ78,BO78)=0,NA(),IF(Funds!$J$10="no",BJ78,BO78))</f>
        <v>-0.29226192677805962</v>
      </c>
      <c r="BF78" s="273">
        <f>IF(IF(Funds!$J$10="no",BK78,BP78)=0,NA(),IF(Funds!$J$10="no",BK78,BP78))</f>
        <v>-2.4244925271051927</v>
      </c>
      <c r="BG78" s="274">
        <f ca="1">Funds!$R$34</f>
        <v>2.5919346055080732</v>
      </c>
      <c r="BH78" s="274">
        <f ca="1">Funds!$R$36</f>
        <v>1.3378677483181089E-2</v>
      </c>
      <c r="BI78" s="274">
        <f ca="1">Funds!$R$38</f>
        <v>-0.15972963753204919</v>
      </c>
      <c r="BJ78" s="274">
        <f ca="1">Funds!$R$40</f>
        <v>-0.16887551350866659</v>
      </c>
      <c r="BK78" s="274">
        <f ca="1">Funds!$R$42</f>
        <v>-1.9222891726906419</v>
      </c>
      <c r="BL78" s="274">
        <f>INDEX(LINEST(AW19:AW78,'AC2'!$F19:$J78,1,1),1,1)</f>
        <v>2.5548750092733061</v>
      </c>
      <c r="BM78" s="274">
        <f>INDEX(LINEST(AX19:AX78,'AC2'!$F19:$J78,1,1),1,1)</f>
        <v>1.6269652506521081E-2</v>
      </c>
      <c r="BN78" s="274">
        <f>INDEX(LINEST(AY19:AY78,'AC2'!$F19:$J78,1,1),1,1)</f>
        <v>-7.0953612741582253E-2</v>
      </c>
      <c r="BO78" s="274">
        <f>INDEX(LINEST(AZ19:AZ78,'AC2'!$F19:$J78,1,1),1,1)</f>
        <v>-0.29226192677805962</v>
      </c>
      <c r="BP78" s="274">
        <f>INDEX(LINEST(BA19:BA78,'AC2'!$F19:$J78,1,1),1,1)</f>
        <v>-2.4244925271051927</v>
      </c>
      <c r="BR78" s="154" t="s">
        <v>106</v>
      </c>
      <c r="BS78" s="158">
        <v>-0.29906480000000002</v>
      </c>
      <c r="BT78" s="154"/>
      <c r="BU78" s="154"/>
      <c r="BX78" s="154"/>
      <c r="BZ78" s="154"/>
      <c r="CA78" s="154"/>
      <c r="CB78" s="154"/>
      <c r="CE78" s="154"/>
      <c r="CG78" s="218"/>
      <c r="CH78" s="154" t="s">
        <v>98</v>
      </c>
      <c r="CI78" s="158">
        <v>0.2149056</v>
      </c>
      <c r="CJ78" s="153" t="str">
        <f t="shared" si="27"/>
        <v>Thailand</v>
      </c>
      <c r="CK78" s="153" t="s">
        <v>126</v>
      </c>
      <c r="CL78" s="158">
        <v>4.8557400000000001E-2</v>
      </c>
      <c r="CM78" s="153" t="e">
        <f t="shared" si="28"/>
        <v>#N/A</v>
      </c>
      <c r="CN78" s="154"/>
      <c r="CO78" s="154"/>
      <c r="CP78" s="154"/>
      <c r="CR78" s="154"/>
      <c r="CT78" s="154"/>
    </row>
    <row r="79" spans="6:98">
      <c r="F79" s="421">
        <v>42551</v>
      </c>
      <c r="G79" s="272">
        <f>BMG!F79</f>
        <v>2.6065499999999998E-2</v>
      </c>
      <c r="H79" s="272" t="e">
        <f>IF('Carbon Risk Factor BMG'!$G$10="yes",AVERAGE(AC!$G43:$G78),NA())</f>
        <v>#N/A</v>
      </c>
      <c r="I79" s="272" t="e">
        <f>IF('Carbon Risk Factor BMG'!$G$11="yes",MIN(AC!$G43:$G78),NA())</f>
        <v>#N/A</v>
      </c>
      <c r="J79" s="272" t="e">
        <f>IF('Carbon Risk Factor BMG'!$G$12="yes",MAX(AC!$G43:$G78),NA())</f>
        <v>#N/A</v>
      </c>
      <c r="K79" s="272" t="e">
        <f>IF('Carbon Risk Factor BMG'!$G$13="yes",_xlfn.STDEV.S(AC!$G43:$G78),NA())</f>
        <v>#N/A</v>
      </c>
      <c r="L79" s="272" t="e">
        <f>IF('Carbon Risk Factor BMG'!$G$14="yes",_xlfn.PERCENTILE.INC(AC!$G43:$G78,'Carbon Risk Factor BMG'!$H$14),NA())</f>
        <v>#N/A</v>
      </c>
      <c r="M79" s="272" t="e">
        <f>IF('Carbon Risk Factor BMG'!$G$15="yes",_xlfn.PERCENTILE.INC(AC!$G43:$G78,'Carbon Risk Factor BMG'!$H$15),NA())</f>
        <v>#N/A</v>
      </c>
      <c r="N79" s="272">
        <f t="shared" si="26"/>
        <v>-0.21786530638374435</v>
      </c>
      <c r="O79" s="272"/>
      <c r="P79" s="421">
        <v>42551</v>
      </c>
      <c r="Q79" s="154">
        <f>HLOOKUP(Q$1,'Asset Returns'!$F$1:$N$109,ROW(),0)</f>
        <v>-4.1786348447203636E-3</v>
      </c>
      <c r="R79" s="154">
        <f>HLOOKUP(R$1,'Asset Returns'!$F$1:$N$109,ROW(),0)</f>
        <v>-5.5798076093196869E-2</v>
      </c>
      <c r="S79" s="154">
        <f>HLOOKUP(S$1,'Asset Returns'!$F$1:$N$109,ROW(),0)</f>
        <v>0.12622553110122681</v>
      </c>
      <c r="T79" s="154">
        <f>HLOOKUP(T$1,'Asset Returns'!$F$1:$N$109,ROW(),0)</f>
        <v>-1.2948788702487946E-2</v>
      </c>
      <c r="U79" s="154">
        <f>HLOOKUP(U$1,'Asset Returns'!$F$1:$N$109,ROW(),0)</f>
        <v>-3.7196077406406403E-2</v>
      </c>
      <c r="V79" s="273">
        <f>IF(IF(Equity!$J$10="no",AA79,AF79)=0,NA(),IF(Equity!$J$10="no",AA79,AF79))</f>
        <v>0.28245091423887558</v>
      </c>
      <c r="W79" s="273">
        <f>IF(IF(Equity!$J$10="no",AB79,AG79)=0,NA(),IF(Equity!$J$10="no",AB79,AG79))</f>
        <v>-1.2751338511640842</v>
      </c>
      <c r="X79" s="273">
        <f>IF(IF(Equity!$J$10="no",AC79,AH79)=0,NA(),IF(Equity!$J$10="no",AC79,AH79))</f>
        <v>1.3315983402975955</v>
      </c>
      <c r="Y79" s="273">
        <f>IF(IF(Equity!$J$10="no",AD79,AI79)=0,NA(),IF(Equity!$J$10="no",AD79,AI79))</f>
        <v>0.15542780130460579</v>
      </c>
      <c r="Z79" s="273">
        <f>IF(IF(Equity!$J$10="no",AE79,AJ79)=0,NA(),IF(Equity!$J$10="no",AE79,AJ79))</f>
        <v>-0.41928743784848699</v>
      </c>
      <c r="AA79" s="274">
        <f ca="1">Equity!$R$34</f>
        <v>0.64097224418739052</v>
      </c>
      <c r="AB79" s="274">
        <f ca="1">Equity!$R$36</f>
        <v>-0.78557102570241866</v>
      </c>
      <c r="AC79" s="274">
        <f ca="1">Equity!$R$38</f>
        <v>0.9378377404978776</v>
      </c>
      <c r="AD79" s="274">
        <f ca="1">Equity!$R$40</f>
        <v>0.17519882647973573</v>
      </c>
      <c r="AE79" s="274">
        <f ca="1">Equity!$R$42</f>
        <v>7.3760094442444454E-2</v>
      </c>
      <c r="AF79" s="274">
        <f>INDEX(LINEST(Q20:Q79,'AC2'!$F20:$J79,1,1),1,1)</f>
        <v>0.28245091423887558</v>
      </c>
      <c r="AG79" s="274">
        <f>INDEX(LINEST(R20:R79,'AC2'!$F20:$J79,1,1),1,1)</f>
        <v>-1.2751338511640842</v>
      </c>
      <c r="AH79" s="274">
        <f>INDEX(LINEST(S20:S79,'AC2'!$F20:$J79,1,1),1,1)</f>
        <v>1.3315983402975955</v>
      </c>
      <c r="AI79" s="274">
        <f>INDEX(LINEST(T20:T79,'AC2'!$F20:$J79,1,1),1,1)</f>
        <v>0.15542780130460579</v>
      </c>
      <c r="AJ79" s="274">
        <f>INDEX(LINEST(U20:U79,'AC2'!$F20:$J79,1,1),1,1)</f>
        <v>-0.41928743784848699</v>
      </c>
      <c r="AK79" s="274"/>
      <c r="AL79" s="421">
        <v>42551</v>
      </c>
      <c r="AM79" s="154">
        <f>HLOOKUP(AM$1,'Asset Returns'!$F$1:$ZS$109,ROW(),0)</f>
        <v>3.1980319803198043E-2</v>
      </c>
      <c r="AN79" s="154">
        <f>HLOOKUP(AN$1,'Asset Returns'!$F$1:$ZS$109,ROW(),0)</f>
        <v>4.0962789257112497E-2</v>
      </c>
      <c r="AO79" s="273">
        <f ca="1">IF(IF(Bonds!$J$10="no",AQ79,AS79)=0,NA(),IF(Bonds!$J$10="no",AQ79,AS79))</f>
        <v>-0.12498736259259137</v>
      </c>
      <c r="AP79" s="273">
        <f ca="1">IF(IF(Bonds!$J$10="no",AR79,AT79)=0,NA(),IF(Bonds!$J$10="no",AR79,AT79))</f>
        <v>0.19970923689173462</v>
      </c>
      <c r="AQ79" s="273">
        <f ca="1">Bonds!$P$32</f>
        <v>-0.12498736259259137</v>
      </c>
      <c r="AR79" s="273">
        <f ca="1">Bonds!$P$34</f>
        <v>0.19970923689173462</v>
      </c>
      <c r="AS79" s="274">
        <f>INDEX(LINEST(AM20:AM79,'AC2'!$F20:$J79,1,1),1,1)</f>
        <v>0.315452798649209</v>
      </c>
      <c r="AT79" s="274">
        <f>INDEX(LINEST(AN20:AN79,'AC2'!$F20:$J79,1,1),1,1)</f>
        <v>0.56868493309296109</v>
      </c>
      <c r="AU79" s="274"/>
      <c r="AV79" s="421">
        <v>42551</v>
      </c>
      <c r="AW79" s="154">
        <f>HLOOKUP(AW$1,'Asset Returns'!$F$1:$ZS$109,ROW(),0)</f>
        <v>0.16742080000000001</v>
      </c>
      <c r="AX79" s="154">
        <f>HLOOKUP(AX$1,'Asset Returns'!$F$1:$ZS$109,ROW(),0)</f>
        <v>-1.11561E-2</v>
      </c>
      <c r="AY79" s="154">
        <f>HLOOKUP(AY$1,'Asset Returns'!$F$1:$ZS$109,ROW(),0)</f>
        <v>-5.8084770000000001E-2</v>
      </c>
      <c r="AZ79" s="154">
        <f>HLOOKUP(AZ$1,'Asset Returns'!$F$1:$ZS$109,ROW(),0)</f>
        <v>-1.4792320000000001E-2</v>
      </c>
      <c r="BA79" s="154">
        <f>HLOOKUP(BA$1,'Asset Returns'!$F$1:$ZS$109,ROW(),0)</f>
        <v>-7.2963E-2</v>
      </c>
      <c r="BB79" s="273">
        <f>IF(IF(Funds!$J$10="no",BG79,BL79)=0,NA(),IF(Funds!$J$10="no",BG79,BL79))</f>
        <v>2.8801583454515192</v>
      </c>
      <c r="BC79" s="273">
        <f>IF(IF(Funds!$J$10="no",BH79,BM79)=0,NA(),IF(Funds!$J$10="no",BH79,BM79))</f>
        <v>2.3513944882074027E-2</v>
      </c>
      <c r="BD79" s="273">
        <f>IF(IF(Funds!$J$10="no",BI79,BN79)=0,NA(),IF(Funds!$J$10="no",BI79,BN79))</f>
        <v>-0.12370655549669402</v>
      </c>
      <c r="BE79" s="273">
        <f>IF(IF(Funds!$J$10="no",BJ79,BO79)=0,NA(),IF(Funds!$J$10="no",BJ79,BO79))</f>
        <v>-0.25674921597832601</v>
      </c>
      <c r="BF79" s="273">
        <f>IF(IF(Funds!$J$10="no",BK79,BP79)=0,NA(),IF(Funds!$J$10="no",BK79,BP79))</f>
        <v>-2.4884175090282463</v>
      </c>
      <c r="BG79" s="274">
        <f ca="1">Funds!$R$34</f>
        <v>2.5919346055080732</v>
      </c>
      <c r="BH79" s="274">
        <f ca="1">Funds!$R$36</f>
        <v>1.3378677483181089E-2</v>
      </c>
      <c r="BI79" s="274">
        <f ca="1">Funds!$R$38</f>
        <v>-0.15972963753204919</v>
      </c>
      <c r="BJ79" s="274">
        <f ca="1">Funds!$R$40</f>
        <v>-0.16887551350866659</v>
      </c>
      <c r="BK79" s="274">
        <f ca="1">Funds!$R$42</f>
        <v>-1.9222891726906419</v>
      </c>
      <c r="BL79" s="274">
        <f>INDEX(LINEST(AW20:AW79,'AC2'!$F20:$J79,1,1),1,1)</f>
        <v>2.8801583454515192</v>
      </c>
      <c r="BM79" s="274">
        <f>INDEX(LINEST(AX20:AX79,'AC2'!$F20:$J79,1,1),1,1)</f>
        <v>2.3513944882074027E-2</v>
      </c>
      <c r="BN79" s="274">
        <f>INDEX(LINEST(AY20:AY79,'AC2'!$F20:$J79,1,1),1,1)</f>
        <v>-0.12370655549669402</v>
      </c>
      <c r="BO79" s="274">
        <f>INDEX(LINEST(AZ20:AZ79,'AC2'!$F20:$J79,1,1),1,1)</f>
        <v>-0.25674921597832601</v>
      </c>
      <c r="BP79" s="274">
        <f>INDEX(LINEST(BA20:BA79,'AC2'!$F20:$J79,1,1),1,1)</f>
        <v>-2.4884175090282463</v>
      </c>
      <c r="BR79" s="154"/>
      <c r="BT79" s="154"/>
      <c r="BU79" s="154"/>
      <c r="BX79" s="154"/>
      <c r="BZ79" s="154"/>
      <c r="CA79" s="154"/>
      <c r="CB79" s="154"/>
      <c r="CE79" s="154"/>
      <c r="CG79" s="218"/>
      <c r="CH79" s="154" t="s">
        <v>127</v>
      </c>
      <c r="CI79" s="158">
        <v>-0.55371959999999998</v>
      </c>
      <c r="CJ79" s="153" t="e">
        <f t="shared" si="27"/>
        <v>#N/A</v>
      </c>
      <c r="CK79" s="153" t="s">
        <v>95</v>
      </c>
      <c r="CL79" s="158">
        <v>-0.45513160000000003</v>
      </c>
      <c r="CM79" s="153" t="str">
        <f t="shared" si="28"/>
        <v>Sweden</v>
      </c>
      <c r="CN79" s="154"/>
      <c r="CO79" s="154"/>
      <c r="CP79" s="154"/>
      <c r="CR79" s="154"/>
      <c r="CT79" s="154"/>
    </row>
    <row r="80" spans="6:98">
      <c r="F80" s="421">
        <v>42582</v>
      </c>
      <c r="G80" s="272">
        <f>BMG!F80</f>
        <v>-7.8545000000000004E-3</v>
      </c>
      <c r="H80" s="272" t="e">
        <f>IF('Carbon Risk Factor BMG'!$G$10="yes",AVERAGE(AC!$G44:$G79),NA())</f>
        <v>#N/A</v>
      </c>
      <c r="I80" s="272" t="e">
        <f>IF('Carbon Risk Factor BMG'!$G$11="yes",MIN(AC!$G44:$G79),NA())</f>
        <v>#N/A</v>
      </c>
      <c r="J80" s="272" t="e">
        <f>IF('Carbon Risk Factor BMG'!$G$12="yes",MAX(AC!$G44:$G79),NA())</f>
        <v>#N/A</v>
      </c>
      <c r="K80" s="272" t="e">
        <f>IF('Carbon Risk Factor BMG'!$G$13="yes",_xlfn.STDEV.S(AC!$G44:$G79),NA())</f>
        <v>#N/A</v>
      </c>
      <c r="L80" s="272" t="e">
        <f>IF('Carbon Risk Factor BMG'!$G$14="yes",_xlfn.PERCENTILE.INC(AC!$G44:$G79,'Carbon Risk Factor BMG'!$H$14),NA())</f>
        <v>#N/A</v>
      </c>
      <c r="M80" s="272" t="e">
        <f>IF('Carbon Risk Factor BMG'!$G$15="yes",_xlfn.PERCENTILE.INC(AC!$G44:$G79,'Carbon Risk Factor BMG'!$H$15),NA())</f>
        <v>#N/A</v>
      </c>
      <c r="N80" s="272">
        <f t="shared" si="26"/>
        <v>-0.22400858333475326</v>
      </c>
      <c r="O80" s="272"/>
      <c r="P80" s="421">
        <v>42582</v>
      </c>
      <c r="Q80" s="154">
        <f>HLOOKUP(Q$1,'Asset Returns'!$F$1:$N$109,ROW(),0)</f>
        <v>0.10429000854492188</v>
      </c>
      <c r="R80" s="154">
        <f>HLOOKUP(R$1,'Asset Returns'!$F$1:$N$109,ROW(),0)</f>
        <v>0.16765767335891724</v>
      </c>
      <c r="S80" s="154">
        <f>HLOOKUP(S$1,'Asset Returns'!$F$1:$N$109,ROW(),0)</f>
        <v>-3.2612781971693039E-2</v>
      </c>
      <c r="T80" s="154">
        <f>HLOOKUP(T$1,'Asset Returns'!$F$1:$N$109,ROW(),0)</f>
        <v>5.8042183518409729E-2</v>
      </c>
      <c r="U80" s="154">
        <f>HLOOKUP(U$1,'Asset Returns'!$F$1:$N$109,ROW(),0)</f>
        <v>2.1409772336483002E-2</v>
      </c>
      <c r="V80" s="273">
        <f>IF(IF(Equity!$J$10="no",AA80,AF80)=0,NA(),IF(Equity!$J$10="no",AA80,AF80))</f>
        <v>0.31844248288053961</v>
      </c>
      <c r="W80" s="273">
        <f>IF(IF(Equity!$J$10="no",AB80,AG80)=0,NA(),IF(Equity!$J$10="no",AB80,AG80))</f>
        <v>-1.474495228350899</v>
      </c>
      <c r="X80" s="273">
        <f>IF(IF(Equity!$J$10="no",AC80,AH80)=0,NA(),IF(Equity!$J$10="no",AC80,AH80))</f>
        <v>1.3175553385539109</v>
      </c>
      <c r="Y80" s="273">
        <f>IF(IF(Equity!$J$10="no",AD80,AI80)=0,NA(),IF(Equity!$J$10="no",AD80,AI80))</f>
        <v>8.7782521492679594E-3</v>
      </c>
      <c r="Z80" s="273">
        <f>IF(IF(Equity!$J$10="no",AE80,AJ80)=0,NA(),IF(Equity!$J$10="no",AE80,AJ80))</f>
        <v>-0.15850126283582391</v>
      </c>
      <c r="AA80" s="274">
        <f ca="1">Equity!$R$34</f>
        <v>0.64097224418739052</v>
      </c>
      <c r="AB80" s="274">
        <f ca="1">Equity!$R$36</f>
        <v>-0.78557102570241866</v>
      </c>
      <c r="AC80" s="274">
        <f ca="1">Equity!$R$38</f>
        <v>0.9378377404978776</v>
      </c>
      <c r="AD80" s="274">
        <f ca="1">Equity!$R$40</f>
        <v>0.17519882647973573</v>
      </c>
      <c r="AE80" s="274">
        <f ca="1">Equity!$R$42</f>
        <v>7.3760094442444454E-2</v>
      </c>
      <c r="AF80" s="274">
        <f>INDEX(LINEST(Q21:Q80,'AC2'!$F21:$J80,1,1),1,1)</f>
        <v>0.31844248288053961</v>
      </c>
      <c r="AG80" s="274">
        <f>INDEX(LINEST(R21:R80,'AC2'!$F21:$J80,1,1),1,1)</f>
        <v>-1.474495228350899</v>
      </c>
      <c r="AH80" s="274">
        <f>INDEX(LINEST(S21:S80,'AC2'!$F21:$J80,1,1),1,1)</f>
        <v>1.3175553385539109</v>
      </c>
      <c r="AI80" s="274">
        <f>INDEX(LINEST(T21:T80,'AC2'!$F21:$J80,1,1),1,1)</f>
        <v>8.7782521492679594E-3</v>
      </c>
      <c r="AJ80" s="274">
        <f>INDEX(LINEST(U21:U80,'AC2'!$F21:$J80,1,1),1,1)</f>
        <v>-0.15850126283582391</v>
      </c>
      <c r="AK80" s="274"/>
      <c r="AL80" s="421">
        <v>42582</v>
      </c>
      <c r="AM80" s="154">
        <f>HLOOKUP(AM$1,'Asset Returns'!$F$1:$ZS$109,ROW(),0)</f>
        <v>2.7377863227597832E-3</v>
      </c>
      <c r="AN80" s="154">
        <f>HLOOKUP(AN$1,'Asset Returns'!$F$1:$ZS$109,ROW(),0)</f>
        <v>1.5437713586208046E-2</v>
      </c>
      <c r="AO80" s="273">
        <f ca="1">IF(IF(Bonds!$J$10="no",AQ80,AS80)=0,NA(),IF(Bonds!$J$10="no",AQ80,AS80))</f>
        <v>-0.12498736259259137</v>
      </c>
      <c r="AP80" s="273">
        <f ca="1">IF(IF(Bonds!$J$10="no",AR80,AT80)=0,NA(),IF(Bonds!$J$10="no",AR80,AT80))</f>
        <v>0.19970923689173462</v>
      </c>
      <c r="AQ80" s="273">
        <f ca="1">Bonds!$P$32</f>
        <v>-0.12498736259259137</v>
      </c>
      <c r="AR80" s="273">
        <f ca="1">Bonds!$P$34</f>
        <v>0.19970923689173462</v>
      </c>
      <c r="AS80" s="274">
        <f>INDEX(LINEST(AM21:AM80,'AC2'!$F21:$J80,1,1),1,1)</f>
        <v>0.25814371472828973</v>
      </c>
      <c r="AT80" s="274">
        <f>INDEX(LINEST(AN21:AN80,'AC2'!$F21:$J80,1,1),1,1)</f>
        <v>0.55907524817794307</v>
      </c>
      <c r="AU80" s="274"/>
      <c r="AV80" s="421">
        <v>42582</v>
      </c>
      <c r="AW80" s="154">
        <f>HLOOKUP(AW$1,'Asset Returns'!$F$1:$ZS$109,ROW(),0)</f>
        <v>0.14341090000000001</v>
      </c>
      <c r="AX80" s="154">
        <f>HLOOKUP(AX$1,'Asset Returns'!$F$1:$ZS$109,ROW(),0)</f>
        <v>4.2317400000000005E-2</v>
      </c>
      <c r="AY80" s="154">
        <f>HLOOKUP(AY$1,'Asset Returns'!$F$1:$ZS$109,ROW(),0)</f>
        <v>3.764108E-2</v>
      </c>
      <c r="AZ80" s="154">
        <f>HLOOKUP(AZ$1,'Asset Returns'!$F$1:$ZS$109,ROW(),0)</f>
        <v>4.873686E-2</v>
      </c>
      <c r="BA80" s="154">
        <f>HLOOKUP(BA$1,'Asset Returns'!$F$1:$ZS$109,ROW(),0)</f>
        <v>3.44468E-2</v>
      </c>
      <c r="BB80" s="273">
        <f>IF(IF(Funds!$J$10="no",BG80,BL80)=0,NA(),IF(Funds!$J$10="no",BG80,BL80))</f>
        <v>2.9343802968347354</v>
      </c>
      <c r="BC80" s="273">
        <f>IF(IF(Funds!$J$10="no",BH80,BM80)=0,NA(),IF(Funds!$J$10="no",BH80,BM80))</f>
        <v>2.7153915998442409E-2</v>
      </c>
      <c r="BD80" s="273">
        <f>IF(IF(Funds!$J$10="no",BI80,BN80)=0,NA(),IF(Funds!$J$10="no",BI80,BN80))</f>
        <v>-0.13955534254702839</v>
      </c>
      <c r="BE80" s="273">
        <f>IF(IF(Funds!$J$10="no",BJ80,BO80)=0,NA(),IF(Funds!$J$10="no",BJ80,BO80))</f>
        <v>-0.24165654962068764</v>
      </c>
      <c r="BF80" s="273">
        <f>IF(IF(Funds!$J$10="no",BK80,BP80)=0,NA(),IF(Funds!$J$10="no",BK80,BP80))</f>
        <v>-2.5297988553476114</v>
      </c>
      <c r="BG80" s="274">
        <f ca="1">Funds!$R$34</f>
        <v>2.5919346055080732</v>
      </c>
      <c r="BH80" s="274">
        <f ca="1">Funds!$R$36</f>
        <v>1.3378677483181089E-2</v>
      </c>
      <c r="BI80" s="274">
        <f ca="1">Funds!$R$38</f>
        <v>-0.15972963753204919</v>
      </c>
      <c r="BJ80" s="274">
        <f ca="1">Funds!$R$40</f>
        <v>-0.16887551350866659</v>
      </c>
      <c r="BK80" s="274">
        <f ca="1">Funds!$R$42</f>
        <v>-1.9222891726906419</v>
      </c>
      <c r="BL80" s="274">
        <f>INDEX(LINEST(AW21:AW80,'AC2'!$F21:$J80,1,1),1,1)</f>
        <v>2.9343802968347354</v>
      </c>
      <c r="BM80" s="274">
        <f>INDEX(LINEST(AX21:AX80,'AC2'!$F21:$J80,1,1),1,1)</f>
        <v>2.7153915998442409E-2</v>
      </c>
      <c r="BN80" s="274">
        <f>INDEX(LINEST(AY21:AY80,'AC2'!$F21:$J80,1,1),1,1)</f>
        <v>-0.13955534254702839</v>
      </c>
      <c r="BO80" s="274">
        <f>INDEX(LINEST(AZ21:AZ80,'AC2'!$F21:$J80,1,1),1,1)</f>
        <v>-0.24165654962068764</v>
      </c>
      <c r="BP80" s="274">
        <f>INDEX(LINEST(BA21:BA80,'AC2'!$F21:$J80,1,1),1,1)</f>
        <v>-2.5297988553476114</v>
      </c>
      <c r="BR80" s="154"/>
      <c r="BT80" s="154"/>
      <c r="BU80" s="154"/>
      <c r="BX80" s="154"/>
      <c r="BZ80" s="154"/>
      <c r="CA80" s="154"/>
      <c r="CB80" s="154"/>
      <c r="CE80" s="154"/>
      <c r="CG80" s="218"/>
      <c r="CH80" s="154" t="s">
        <v>99</v>
      </c>
      <c r="CI80" s="158">
        <v>-0.221001</v>
      </c>
      <c r="CJ80" s="153" t="str">
        <f t="shared" si="27"/>
        <v>Tunisia</v>
      </c>
      <c r="CK80" s="153" t="s">
        <v>40</v>
      </c>
      <c r="CL80" s="158">
        <v>-0.3904495</v>
      </c>
      <c r="CM80" s="153" t="str">
        <f t="shared" si="28"/>
        <v>Switzerland</v>
      </c>
      <c r="CN80" s="154"/>
      <c r="CO80" s="154"/>
      <c r="CP80" s="154"/>
      <c r="CR80" s="154"/>
      <c r="CT80" s="154"/>
    </row>
    <row r="81" spans="6:98">
      <c r="F81" s="421">
        <v>42613</v>
      </c>
      <c r="G81" s="272">
        <f>BMG!F81</f>
        <v>-8.267E-3</v>
      </c>
      <c r="H81" s="272" t="e">
        <f>IF('Carbon Risk Factor BMG'!$G$10="yes",AVERAGE(AC!$G45:$G80),NA())</f>
        <v>#N/A</v>
      </c>
      <c r="I81" s="272" t="e">
        <f>IF('Carbon Risk Factor BMG'!$G$11="yes",MIN(AC!$G45:$G80),NA())</f>
        <v>#N/A</v>
      </c>
      <c r="J81" s="272" t="e">
        <f>IF('Carbon Risk Factor BMG'!$G$12="yes",MAX(AC!$G45:$G80),NA())</f>
        <v>#N/A</v>
      </c>
      <c r="K81" s="272" t="e">
        <f>IF('Carbon Risk Factor BMG'!$G$13="yes",_xlfn.STDEV.S(AC!$G45:$G80),NA())</f>
        <v>#N/A</v>
      </c>
      <c r="L81" s="272" t="e">
        <f>IF('Carbon Risk Factor BMG'!$G$14="yes",_xlfn.PERCENTILE.INC(AC!$G45:$G80,'Carbon Risk Factor BMG'!$H$14),NA())</f>
        <v>#N/A</v>
      </c>
      <c r="M81" s="272" t="e">
        <f>IF('Carbon Risk Factor BMG'!$G$15="yes",_xlfn.PERCENTILE.INC(AC!$G45:$G80,'Carbon Risk Factor BMG'!$H$15),NA())</f>
        <v>#N/A</v>
      </c>
      <c r="N81" s="272">
        <f t="shared" si="26"/>
        <v>-0.23042370437632487</v>
      </c>
      <c r="O81" s="272"/>
      <c r="P81" s="421">
        <v>42613</v>
      </c>
      <c r="Q81" s="154">
        <f>HLOOKUP(Q$1,'Asset Returns'!$F$1:$N$109,ROW(),0)</f>
        <v>6.8600334227085114E-2</v>
      </c>
      <c r="R81" s="154">
        <f>HLOOKUP(R$1,'Asset Returns'!$F$1:$N$109,ROW(),0)</f>
        <v>4.8446569591760635E-2</v>
      </c>
      <c r="S81" s="154">
        <f>HLOOKUP(S$1,'Asset Returns'!$F$1:$N$109,ROW(),0)</f>
        <v>6.6215735860168934E-3</v>
      </c>
      <c r="T81" s="154">
        <f>HLOOKUP(T$1,'Asset Returns'!$F$1:$N$109,ROW(),0)</f>
        <v>-2.4867739994078875E-3</v>
      </c>
      <c r="U81" s="154">
        <f>HLOOKUP(U$1,'Asset Returns'!$F$1:$N$109,ROW(),0)</f>
        <v>4.5273125171661377E-2</v>
      </c>
      <c r="V81" s="273">
        <f>IF(IF(Equity!$J$10="no",AA81,AF81)=0,NA(),IF(Equity!$J$10="no",AA81,AF81))</f>
        <v>0.4137224494994719</v>
      </c>
      <c r="W81" s="273">
        <f>IF(IF(Equity!$J$10="no",AB81,AG81)=0,NA(),IF(Equity!$J$10="no",AB81,AG81))</f>
        <v>-1.4396535407117315</v>
      </c>
      <c r="X81" s="273">
        <f>IF(IF(Equity!$J$10="no",AC81,AH81)=0,NA(),IF(Equity!$J$10="no",AC81,AH81))</f>
        <v>1.3519658371102699</v>
      </c>
      <c r="Y81" s="273">
        <f>IF(IF(Equity!$J$10="no",AD81,AI81)=0,NA(),IF(Equity!$J$10="no",AD81,AI81))</f>
        <v>1.5136089830469017E-2</v>
      </c>
      <c r="Z81" s="273">
        <f>IF(IF(Equity!$J$10="no",AE81,AJ81)=0,NA(),IF(Equity!$J$10="no",AE81,AJ81))</f>
        <v>-0.18247911358674618</v>
      </c>
      <c r="AA81" s="274">
        <f ca="1">Equity!$R$34</f>
        <v>0.64097224418739052</v>
      </c>
      <c r="AB81" s="274">
        <f ca="1">Equity!$R$36</f>
        <v>-0.78557102570241866</v>
      </c>
      <c r="AC81" s="274">
        <f ca="1">Equity!$R$38</f>
        <v>0.9378377404978776</v>
      </c>
      <c r="AD81" s="274">
        <f ca="1">Equity!$R$40</f>
        <v>0.17519882647973573</v>
      </c>
      <c r="AE81" s="274">
        <f ca="1">Equity!$R$42</f>
        <v>7.3760094442444454E-2</v>
      </c>
      <c r="AF81" s="274">
        <f>INDEX(LINEST(Q22:Q81,'AC2'!$F22:$J81,1,1),1,1)</f>
        <v>0.4137224494994719</v>
      </c>
      <c r="AG81" s="274">
        <f>INDEX(LINEST(R22:R81,'AC2'!$F22:$J81,1,1),1,1)</f>
        <v>-1.4396535407117315</v>
      </c>
      <c r="AH81" s="274">
        <f>INDEX(LINEST(S22:S81,'AC2'!$F22:$J81,1,1),1,1)</f>
        <v>1.3519658371102699</v>
      </c>
      <c r="AI81" s="274">
        <f>INDEX(LINEST(T22:T81,'AC2'!$F22:$J81,1,1),1,1)</f>
        <v>1.5136089830469017E-2</v>
      </c>
      <c r="AJ81" s="274">
        <f>INDEX(LINEST(U22:U81,'AC2'!$F22:$J81,1,1),1,1)</f>
        <v>-0.18247911358674618</v>
      </c>
      <c r="AK81" s="274"/>
      <c r="AL81" s="421">
        <v>42613</v>
      </c>
      <c r="AM81" s="154">
        <f>HLOOKUP(AM$1,'Asset Returns'!$F$1:$ZS$109,ROW(),0)</f>
        <v>-6.8079648654599811E-3</v>
      </c>
      <c r="AN81" s="154">
        <f>HLOOKUP(AN$1,'Asset Returns'!$F$1:$ZS$109,ROW(),0)</f>
        <v>1.3227291753872272E-3</v>
      </c>
      <c r="AO81" s="273">
        <f ca="1">IF(IF(Bonds!$J$10="no",AQ81,AS81)=0,NA(),IF(Bonds!$J$10="no",AQ81,AS81))</f>
        <v>-0.12498736259259137</v>
      </c>
      <c r="AP81" s="273">
        <f ca="1">IF(IF(Bonds!$J$10="no",AR81,AT81)=0,NA(),IF(Bonds!$J$10="no",AR81,AT81))</f>
        <v>0.19970923689173462</v>
      </c>
      <c r="AQ81" s="273">
        <f ca="1">Bonds!$P$32</f>
        <v>-0.12498736259259137</v>
      </c>
      <c r="AR81" s="273">
        <f ca="1">Bonds!$P$34</f>
        <v>0.19970923689173462</v>
      </c>
      <c r="AS81" s="274">
        <f>INDEX(LINEST(AM22:AM81,'AC2'!$F22:$J81,1,1),1,1)</f>
        <v>0.21306093794131364</v>
      </c>
      <c r="AT81" s="274">
        <f>INDEX(LINEST(AN22:AN81,'AC2'!$F22:$J81,1,1),1,1)</f>
        <v>0.5123479319180605</v>
      </c>
      <c r="AU81" s="274"/>
      <c r="AV81" s="421">
        <v>42613</v>
      </c>
      <c r="AW81" s="154">
        <f>HLOOKUP(AW$1,'Asset Returns'!$F$1:$ZS$109,ROW(),0)</f>
        <v>-5.87571E-2</v>
      </c>
      <c r="AX81" s="154">
        <f>HLOOKUP(AX$1,'Asset Returns'!$F$1:$ZS$109,ROW(),0)</f>
        <v>5.465E-4</v>
      </c>
      <c r="AY81" s="154">
        <f>HLOOKUP(AY$1,'Asset Returns'!$F$1:$ZS$109,ROW(),0)</f>
        <v>1.229206E-2</v>
      </c>
      <c r="AZ81" s="154">
        <f>HLOOKUP(AZ$1,'Asset Returns'!$F$1:$ZS$109,ROW(),0)</f>
        <v>-3.31248E-3</v>
      </c>
      <c r="BA81" s="154">
        <f>HLOOKUP(BA$1,'Asset Returns'!$F$1:$ZS$109,ROW(),0)</f>
        <v>-3.4914199999999999E-2</v>
      </c>
      <c r="BB81" s="273">
        <f>IF(IF(Funds!$J$10="no",BG81,BL81)=0,NA(),IF(Funds!$J$10="no",BG81,BL81))</f>
        <v>2.9949794096193028</v>
      </c>
      <c r="BC81" s="273">
        <f>IF(IF(Funds!$J$10="no",BH81,BM81)=0,NA(),IF(Funds!$J$10="no",BH81,BM81))</f>
        <v>2.7087609414061683E-2</v>
      </c>
      <c r="BD81" s="273">
        <f>IF(IF(Funds!$J$10="no",BI81,BN81)=0,NA(),IF(Funds!$J$10="no",BI81,BN81))</f>
        <v>-9.2858209312335543E-2</v>
      </c>
      <c r="BE81" s="273">
        <f>IF(IF(Funds!$J$10="no",BJ81,BO81)=0,NA(),IF(Funds!$J$10="no",BJ81,BO81))</f>
        <v>-0.2250642132835744</v>
      </c>
      <c r="BF81" s="273">
        <f>IF(IF(Funds!$J$10="no",BK81,BP81)=0,NA(),IF(Funds!$J$10="no",BK81,BP81))</f>
        <v>-2.4843616860895508</v>
      </c>
      <c r="BG81" s="274">
        <f ca="1">Funds!$R$34</f>
        <v>2.5919346055080732</v>
      </c>
      <c r="BH81" s="274">
        <f ca="1">Funds!$R$36</f>
        <v>1.3378677483181089E-2</v>
      </c>
      <c r="BI81" s="274">
        <f ca="1">Funds!$R$38</f>
        <v>-0.15972963753204919</v>
      </c>
      <c r="BJ81" s="274">
        <f ca="1">Funds!$R$40</f>
        <v>-0.16887551350866659</v>
      </c>
      <c r="BK81" s="274">
        <f ca="1">Funds!$R$42</f>
        <v>-1.9222891726906419</v>
      </c>
      <c r="BL81" s="274">
        <f>INDEX(LINEST(AW22:AW81,'AC2'!$F22:$J81,1,1),1,1)</f>
        <v>2.9949794096193028</v>
      </c>
      <c r="BM81" s="274">
        <f>INDEX(LINEST(AX22:AX81,'AC2'!$F22:$J81,1,1),1,1)</f>
        <v>2.7087609414061683E-2</v>
      </c>
      <c r="BN81" s="274">
        <f>INDEX(LINEST(AY22:AY81,'AC2'!$F22:$J81,1,1),1,1)</f>
        <v>-9.2858209312335543E-2</v>
      </c>
      <c r="BO81" s="274">
        <f>INDEX(LINEST(AZ22:AZ81,'AC2'!$F22:$J81,1,1),1,1)</f>
        <v>-0.2250642132835744</v>
      </c>
      <c r="BP81" s="274">
        <f>INDEX(LINEST(BA22:BA81,'AC2'!$F22:$J81,1,1),1,1)</f>
        <v>-2.4843616860895508</v>
      </c>
      <c r="BR81" s="154"/>
      <c r="BT81" s="154"/>
      <c r="BU81" s="154"/>
      <c r="BX81" s="154"/>
      <c r="BZ81" s="154"/>
      <c r="CA81" s="154"/>
      <c r="CB81" s="154"/>
      <c r="CE81" s="154"/>
      <c r="CG81" s="218"/>
      <c r="CH81" s="154" t="s">
        <v>100</v>
      </c>
      <c r="CI81" s="158">
        <v>-1.3082699999999999E-2</v>
      </c>
      <c r="CJ81" s="153" t="str">
        <f t="shared" si="27"/>
        <v>Turkey</v>
      </c>
      <c r="CK81" s="153" t="s">
        <v>101</v>
      </c>
      <c r="CL81" s="158">
        <v>0.14157339999999999</v>
      </c>
      <c r="CM81" s="153" t="str">
        <f t="shared" si="28"/>
        <v>Taiwan</v>
      </c>
      <c r="CN81" s="154"/>
      <c r="CP81" s="154"/>
      <c r="CR81" s="154"/>
      <c r="CT81" s="154"/>
    </row>
    <row r="82" spans="6:98">
      <c r="F82" s="421">
        <v>42643</v>
      </c>
      <c r="G82" s="272">
        <f>BMG!F82</f>
        <v>8.4940999999999992E-3</v>
      </c>
      <c r="H82" s="272" t="e">
        <f>IF('Carbon Risk Factor BMG'!$G$10="yes",AVERAGE(AC!$G46:$G81),NA())</f>
        <v>#N/A</v>
      </c>
      <c r="I82" s="272" t="e">
        <f>IF('Carbon Risk Factor BMG'!$G$11="yes",MIN(AC!$G46:$G81),NA())</f>
        <v>#N/A</v>
      </c>
      <c r="J82" s="272" t="e">
        <f>IF('Carbon Risk Factor BMG'!$G$12="yes",MAX(AC!$G46:$G81),NA())</f>
        <v>#N/A</v>
      </c>
      <c r="K82" s="272" t="e">
        <f>IF('Carbon Risk Factor BMG'!$G$13="yes",_xlfn.STDEV.S(AC!$G46:$G81),NA())</f>
        <v>#N/A</v>
      </c>
      <c r="L82" s="272" t="e">
        <f>IF('Carbon Risk Factor BMG'!$G$14="yes",_xlfn.PERCENTILE.INC(AC!$G46:$G81,'Carbon Risk Factor BMG'!$H$14),NA())</f>
        <v>#N/A</v>
      </c>
      <c r="M82" s="272" t="e">
        <f>IF('Carbon Risk Factor BMG'!$G$15="yes",_xlfn.PERCENTILE.INC(AC!$G46:$G81,'Carbon Risk Factor BMG'!$H$15),NA())</f>
        <v>#N/A</v>
      </c>
      <c r="N82" s="272">
        <f t="shared" si="26"/>
        <v>-0.22388684636366774</v>
      </c>
      <c r="O82" s="272"/>
      <c r="P82" s="421">
        <v>42643</v>
      </c>
      <c r="Q82" s="154">
        <f>HLOOKUP(Q$1,'Asset Returns'!$F$1:$N$109,ROW(),0)</f>
        <v>3.2625271705910563E-4</v>
      </c>
      <c r="R82" s="154">
        <f>HLOOKUP(R$1,'Asset Returns'!$F$1:$N$109,ROW(),0)</f>
        <v>-3.7817146629095078E-2</v>
      </c>
      <c r="S82" s="154">
        <f>HLOOKUP(S$1,'Asset Returns'!$F$1:$N$109,ROW(),0)</f>
        <v>4.2854852974414825E-2</v>
      </c>
      <c r="T82" s="154">
        <f>HLOOKUP(T$1,'Asset Returns'!$F$1:$N$109,ROW(),0)</f>
        <v>-3.8882368244230747E-4</v>
      </c>
      <c r="U82" s="154">
        <f>HLOOKUP(U$1,'Asset Returns'!$F$1:$N$109,ROW(),0)</f>
        <v>6.0693364590406418E-2</v>
      </c>
      <c r="V82" s="273">
        <f>IF(IF(Equity!$J$10="no",AA82,AF82)=0,NA(),IF(Equity!$J$10="no",AA82,AF82))</f>
        <v>0.64388733994819647</v>
      </c>
      <c r="W82" s="273">
        <f>IF(IF(Equity!$J$10="no",AB82,AG82)=0,NA(),IF(Equity!$J$10="no",AB82,AG82))</f>
        <v>-1.4571224407392076</v>
      </c>
      <c r="X82" s="273">
        <f>IF(IF(Equity!$J$10="no",AC82,AH82)=0,NA(),IF(Equity!$J$10="no",AC82,AH82))</f>
        <v>1.4650213826785832</v>
      </c>
      <c r="Y82" s="273">
        <f>IF(IF(Equity!$J$10="no",AD82,AI82)=0,NA(),IF(Equity!$J$10="no",AD82,AI82))</f>
        <v>0.13466600119469013</v>
      </c>
      <c r="Z82" s="273">
        <f>IF(IF(Equity!$J$10="no",AE82,AJ82)=0,NA(),IF(Equity!$J$10="no",AE82,AJ82))</f>
        <v>-7.1460138349989044E-2</v>
      </c>
      <c r="AA82" s="274">
        <f ca="1">Equity!$R$34</f>
        <v>0.64097224418739052</v>
      </c>
      <c r="AB82" s="274">
        <f ca="1">Equity!$R$36</f>
        <v>-0.78557102570241866</v>
      </c>
      <c r="AC82" s="274">
        <f ca="1">Equity!$R$38</f>
        <v>0.9378377404978776</v>
      </c>
      <c r="AD82" s="274">
        <f ca="1">Equity!$R$40</f>
        <v>0.17519882647973573</v>
      </c>
      <c r="AE82" s="274">
        <f ca="1">Equity!$R$42</f>
        <v>7.3760094442444454E-2</v>
      </c>
      <c r="AF82" s="274">
        <f>INDEX(LINEST(Q23:Q82,'AC2'!$F23:$J82,1,1),1,1)</f>
        <v>0.64388733994819647</v>
      </c>
      <c r="AG82" s="274">
        <f>INDEX(LINEST(R23:R82,'AC2'!$F23:$J82,1,1),1,1)</f>
        <v>-1.4571224407392076</v>
      </c>
      <c r="AH82" s="274">
        <f>INDEX(LINEST(S23:S82,'AC2'!$F23:$J82,1,1),1,1)</f>
        <v>1.4650213826785832</v>
      </c>
      <c r="AI82" s="274">
        <f>INDEX(LINEST(T23:T82,'AC2'!$F23:$J82,1,1),1,1)</f>
        <v>0.13466600119469013</v>
      </c>
      <c r="AJ82" s="274">
        <f>INDEX(LINEST(U23:U82,'AC2'!$F23:$J82,1,1),1,1)</f>
        <v>-7.1460138349989044E-2</v>
      </c>
      <c r="AK82" s="274"/>
      <c r="AL82" s="421">
        <v>42643</v>
      </c>
      <c r="AM82" s="154">
        <f>HLOOKUP(AM$1,'Asset Returns'!$F$1:$ZS$109,ROW(),0)</f>
        <v>2.1121524584710949E-2</v>
      </c>
      <c r="AN82" s="154">
        <f>HLOOKUP(AN$1,'Asset Returns'!$F$1:$ZS$109,ROW(),0)</f>
        <v>-3.5281920941743206E-3</v>
      </c>
      <c r="AO82" s="273">
        <f ca="1">IF(IF(Bonds!$J$10="no",AQ82,AS82)=0,NA(),IF(Bonds!$J$10="no",AQ82,AS82))</f>
        <v>-0.12498736259259137</v>
      </c>
      <c r="AP82" s="273">
        <f ca="1">IF(IF(Bonds!$J$10="no",AR82,AT82)=0,NA(),IF(Bonds!$J$10="no",AR82,AT82))</f>
        <v>0.19970923689173462</v>
      </c>
      <c r="AQ82" s="273">
        <f ca="1">Bonds!$P$32</f>
        <v>-0.12498736259259137</v>
      </c>
      <c r="AR82" s="273">
        <f ca="1">Bonds!$P$34</f>
        <v>0.19970923689173462</v>
      </c>
      <c r="AS82" s="274">
        <f>INDEX(LINEST(AM23:AM82,'AC2'!$F23:$J82,1,1),1,1)</f>
        <v>0.2531218132755727</v>
      </c>
      <c r="AT82" s="274">
        <f>INDEX(LINEST(AN23:AN82,'AC2'!$F23:$J82,1,1),1,1)</f>
        <v>0.51629055903972121</v>
      </c>
      <c r="AU82" s="274"/>
      <c r="AV82" s="421">
        <v>42643</v>
      </c>
      <c r="AW82" s="154">
        <f>HLOOKUP(AW$1,'Asset Returns'!$F$1:$ZS$109,ROW(),0)</f>
        <v>7.4429800000000004E-2</v>
      </c>
      <c r="AX82" s="154">
        <f>HLOOKUP(AX$1,'Asset Returns'!$F$1:$ZS$109,ROW(),0)</f>
        <v>4.9824999999999999E-3</v>
      </c>
      <c r="AY82" s="154">
        <f>HLOOKUP(AY$1,'Asset Returns'!$F$1:$ZS$109,ROW(),0)</f>
        <v>1.0759719999999999E-2</v>
      </c>
      <c r="AZ82" s="154">
        <f>HLOOKUP(AZ$1,'Asset Returns'!$F$1:$ZS$109,ROW(),0)</f>
        <v>1.217962E-2</v>
      </c>
      <c r="BA82" s="154">
        <f>HLOOKUP(BA$1,'Asset Returns'!$F$1:$ZS$109,ROW(),0)</f>
        <v>-7.8210000000000002E-2</v>
      </c>
      <c r="BB82" s="273">
        <f>IF(IF(Funds!$J$10="no",BG82,BL82)=0,NA(),IF(Funds!$J$10="no",BG82,BL82))</f>
        <v>2.9541284616778394</v>
      </c>
      <c r="BC82" s="273">
        <f>IF(IF(Funds!$J$10="no",BH82,BM82)=0,NA(),IF(Funds!$J$10="no",BH82,BM82))</f>
        <v>3.2581105643585587E-2</v>
      </c>
      <c r="BD82" s="273">
        <f>IF(IF(Funds!$J$10="no",BI82,BN82)=0,NA(),IF(Funds!$J$10="no",BI82,BN82))</f>
        <v>-5.6277688194415157E-2</v>
      </c>
      <c r="BE82" s="273">
        <f>IF(IF(Funds!$J$10="no",BJ82,BO82)=0,NA(),IF(Funds!$J$10="no",BJ82,BO82))</f>
        <v>-0.23008265978119238</v>
      </c>
      <c r="BF82" s="273">
        <f>IF(IF(Funds!$J$10="no",BK82,BP82)=0,NA(),IF(Funds!$J$10="no",BK82,BP82))</f>
        <v>-2.4763159614243566</v>
      </c>
      <c r="BG82" s="274">
        <f ca="1">Funds!$R$34</f>
        <v>2.5919346055080732</v>
      </c>
      <c r="BH82" s="274">
        <f ca="1">Funds!$R$36</f>
        <v>1.3378677483181089E-2</v>
      </c>
      <c r="BI82" s="274">
        <f ca="1">Funds!$R$38</f>
        <v>-0.15972963753204919</v>
      </c>
      <c r="BJ82" s="274">
        <f ca="1">Funds!$R$40</f>
        <v>-0.16887551350866659</v>
      </c>
      <c r="BK82" s="274">
        <f ca="1">Funds!$R$42</f>
        <v>-1.9222891726906419</v>
      </c>
      <c r="BL82" s="274">
        <f>INDEX(LINEST(AW23:AW82,'AC2'!$F23:$J82,1,1),1,1)</f>
        <v>2.9541284616778394</v>
      </c>
      <c r="BM82" s="274">
        <f>INDEX(LINEST(AX23:AX82,'AC2'!$F23:$J82,1,1),1,1)</f>
        <v>3.2581105643585587E-2</v>
      </c>
      <c r="BN82" s="274">
        <f>INDEX(LINEST(AY23:AY82,'AC2'!$F23:$J82,1,1),1,1)</f>
        <v>-5.6277688194415157E-2</v>
      </c>
      <c r="BO82" s="274">
        <f>INDEX(LINEST(AZ23:AZ82,'AC2'!$F23:$J82,1,1),1,1)</f>
        <v>-0.23008265978119238</v>
      </c>
      <c r="BP82" s="274">
        <f>INDEX(LINEST(BA23:BA82,'AC2'!$F23:$J82,1,1),1,1)</f>
        <v>-2.4763159614243566</v>
      </c>
      <c r="BR82" s="154"/>
      <c r="BT82" s="154"/>
      <c r="BU82" s="154"/>
      <c r="BX82" s="154"/>
      <c r="BZ82" s="154"/>
      <c r="CA82" s="154"/>
      <c r="CB82" s="154"/>
      <c r="CE82" s="154"/>
      <c r="CG82" s="218"/>
      <c r="CH82" s="154" t="s">
        <v>102</v>
      </c>
      <c r="CI82" s="158">
        <v>0.25183800000000001</v>
      </c>
      <c r="CJ82" s="153" t="str">
        <f t="shared" si="27"/>
        <v>Ukraine</v>
      </c>
      <c r="CK82" s="153" t="s">
        <v>98</v>
      </c>
      <c r="CL82" s="158">
        <v>0.18943489999999999</v>
      </c>
      <c r="CM82" s="153" t="str">
        <f t="shared" si="28"/>
        <v>Thailand</v>
      </c>
      <c r="CN82" s="154"/>
      <c r="CP82" s="154"/>
      <c r="CR82" s="154"/>
      <c r="CT82" s="154"/>
    </row>
    <row r="83" spans="6:98">
      <c r="F83" s="421">
        <v>42674</v>
      </c>
      <c r="G83" s="272">
        <f>BMG!F83</f>
        <v>8.4954999999999996E-3</v>
      </c>
      <c r="H83" s="272" t="e">
        <f>IF('Carbon Risk Factor BMG'!$G$10="yes",AVERAGE(AC!$G47:$G82),NA())</f>
        <v>#N/A</v>
      </c>
      <c r="I83" s="272" t="e">
        <f>IF('Carbon Risk Factor BMG'!$G$11="yes",MIN(AC!$G47:$G82),NA())</f>
        <v>#N/A</v>
      </c>
      <c r="J83" s="272" t="e">
        <f>IF('Carbon Risk Factor BMG'!$G$12="yes",MAX(AC!$G47:$G82),NA())</f>
        <v>#N/A</v>
      </c>
      <c r="K83" s="272" t="e">
        <f>IF('Carbon Risk Factor BMG'!$G$13="yes",_xlfn.STDEV.S(AC!$G47:$G82),NA())</f>
        <v>#N/A</v>
      </c>
      <c r="L83" s="272" t="e">
        <f>IF('Carbon Risk Factor BMG'!$G$14="yes",_xlfn.PERCENTILE.INC(AC!$G47:$G82,'Carbon Risk Factor BMG'!$H$14),NA())</f>
        <v>#N/A</v>
      </c>
      <c r="M83" s="272" t="e">
        <f>IF('Carbon Risk Factor BMG'!$G$15="yes",_xlfn.PERCENTILE.INC(AC!$G47:$G82,'Carbon Risk Factor BMG'!$H$15),NA())</f>
        <v>#N/A</v>
      </c>
      <c r="N83" s="272">
        <f t="shared" si="26"/>
        <v>-0.21729337706695029</v>
      </c>
      <c r="O83" s="272"/>
      <c r="P83" s="421">
        <v>42674</v>
      </c>
      <c r="Q83" s="154">
        <f>HLOOKUP(Q$1,'Asset Returns'!$F$1:$N$109,ROW(),0)</f>
        <v>7.154389750212431E-4</v>
      </c>
      <c r="R83" s="154">
        <f>HLOOKUP(R$1,'Asset Returns'!$F$1:$N$109,ROW(),0)</f>
        <v>1.3473426923155785E-2</v>
      </c>
      <c r="S83" s="154">
        <f>HLOOKUP(S$1,'Asset Returns'!$F$1:$N$109,ROW(),0)</f>
        <v>1.0056700557470322E-2</v>
      </c>
      <c r="T83" s="154">
        <f>HLOOKUP(T$1,'Asset Returns'!$F$1:$N$109,ROW(),0)</f>
        <v>-3.2683473080396652E-2</v>
      </c>
      <c r="U83" s="154">
        <f>HLOOKUP(U$1,'Asset Returns'!$F$1:$N$109,ROW(),0)</f>
        <v>-9.6895890310406685E-3</v>
      </c>
      <c r="V83" s="273">
        <f>IF(IF(Equity!$J$10="no",AA83,AF83)=0,NA(),IF(Equity!$J$10="no",AA83,AF83))</f>
        <v>0.77001024454977129</v>
      </c>
      <c r="W83" s="273">
        <f>IF(IF(Equity!$J$10="no",AB83,AG83)=0,NA(),IF(Equity!$J$10="no",AB83,AG83))</f>
        <v>-1.3564992513324678</v>
      </c>
      <c r="X83" s="273">
        <f>IF(IF(Equity!$J$10="no",AC83,AH83)=0,NA(),IF(Equity!$J$10="no",AC83,AH83))</f>
        <v>1.3424251082539826</v>
      </c>
      <c r="Y83" s="273">
        <f>IF(IF(Equity!$J$10="no",AD83,AI83)=0,NA(),IF(Equity!$J$10="no",AD83,AI83))</f>
        <v>0.19438948671188633</v>
      </c>
      <c r="Z83" s="273">
        <f>IF(IF(Equity!$J$10="no",AE83,AJ83)=0,NA(),IF(Equity!$J$10="no",AE83,AJ83))</f>
        <v>-0.38691215195447759</v>
      </c>
      <c r="AA83" s="274">
        <f ca="1">Equity!$R$34</f>
        <v>0.64097224418739052</v>
      </c>
      <c r="AB83" s="274">
        <f ca="1">Equity!$R$36</f>
        <v>-0.78557102570241866</v>
      </c>
      <c r="AC83" s="274">
        <f ca="1">Equity!$R$38</f>
        <v>0.9378377404978776</v>
      </c>
      <c r="AD83" s="274">
        <f ca="1">Equity!$R$40</f>
        <v>0.17519882647973573</v>
      </c>
      <c r="AE83" s="274">
        <f ca="1">Equity!$R$42</f>
        <v>7.3760094442444454E-2</v>
      </c>
      <c r="AF83" s="274">
        <f>INDEX(LINEST(Q24:Q83,'AC2'!$F24:$J83,1,1),1,1)</f>
        <v>0.77001024454977129</v>
      </c>
      <c r="AG83" s="274">
        <f>INDEX(LINEST(R24:R83,'AC2'!$F24:$J83,1,1),1,1)</f>
        <v>-1.3564992513324678</v>
      </c>
      <c r="AH83" s="274">
        <f>INDEX(LINEST(S24:S83,'AC2'!$F24:$J83,1,1),1,1)</f>
        <v>1.3424251082539826</v>
      </c>
      <c r="AI83" s="274">
        <f>INDEX(LINEST(T24:T83,'AC2'!$F24:$J83,1,1),1,1)</f>
        <v>0.19438948671188633</v>
      </c>
      <c r="AJ83" s="274">
        <f>INDEX(LINEST(U24:U83,'AC2'!$F24:$J83,1,1),1,1)</f>
        <v>-0.38691215195447759</v>
      </c>
      <c r="AK83" s="274"/>
      <c r="AL83" s="421">
        <v>42674</v>
      </c>
      <c r="AM83" s="154">
        <f>HLOOKUP(AM$1,'Asset Returns'!$F$1:$ZS$109,ROW(),0)</f>
        <v>-6.6904905614582066E-3</v>
      </c>
      <c r="AN83" s="154">
        <f>HLOOKUP(AN$1,'Asset Returns'!$F$1:$ZS$109,ROW(),0)</f>
        <v>-3.2105280821573046E-2</v>
      </c>
      <c r="AO83" s="273">
        <f ca="1">IF(IF(Bonds!$J$10="no",AQ83,AS83)=0,NA(),IF(Bonds!$J$10="no",AQ83,AS83))</f>
        <v>-0.12498736259259137</v>
      </c>
      <c r="AP83" s="273">
        <f ca="1">IF(IF(Bonds!$J$10="no",AR83,AT83)=0,NA(),IF(Bonds!$J$10="no",AR83,AT83))</f>
        <v>0.19970923689173462</v>
      </c>
      <c r="AQ83" s="273">
        <f ca="1">Bonds!$P$32</f>
        <v>-0.12498736259259137</v>
      </c>
      <c r="AR83" s="273">
        <f ca="1">Bonds!$P$34</f>
        <v>0.19970923689173462</v>
      </c>
      <c r="AS83" s="274">
        <f>INDEX(LINEST(AM24:AM83,'AC2'!$F24:$J83,1,1),1,1)</f>
        <v>0.35705406745074336</v>
      </c>
      <c r="AT83" s="274">
        <f>INDEX(LINEST(AN24:AN83,'AC2'!$F24:$J83,1,1),1,1)</f>
        <v>0.47131378572349525</v>
      </c>
      <c r="AU83" s="274"/>
      <c r="AV83" s="421">
        <v>42674</v>
      </c>
      <c r="AW83" s="154">
        <f>HLOOKUP(AW$1,'Asset Returns'!$F$1:$ZS$109,ROW(),0)</f>
        <v>-0.1162011</v>
      </c>
      <c r="AX83" s="154">
        <f>HLOOKUP(AX$1,'Asset Returns'!$F$1:$ZS$109,ROW(),0)</f>
        <v>-1.9520099999999999E-2</v>
      </c>
      <c r="AY83" s="154">
        <f>HLOOKUP(AY$1,'Asset Returns'!$F$1:$ZS$109,ROW(),0)</f>
        <v>-2.1414399999999997E-2</v>
      </c>
      <c r="AZ83" s="154">
        <f>HLOOKUP(AZ$1,'Asset Returns'!$F$1:$ZS$109,ROW(),0)</f>
        <v>-3.1104669999999997E-2</v>
      </c>
      <c r="BA83" s="154">
        <f>HLOOKUP(BA$1,'Asset Returns'!$F$1:$ZS$109,ROW(),0)</f>
        <v>6.8058099999999996E-2</v>
      </c>
      <c r="BB83" s="273">
        <f>IF(IF(Funds!$J$10="no",BG83,BL83)=0,NA(),IF(Funds!$J$10="no",BG83,BL83))</f>
        <v>3.2092675861528552</v>
      </c>
      <c r="BC83" s="273">
        <f>IF(IF(Funds!$J$10="no",BH83,BM83)=0,NA(),IF(Funds!$J$10="no",BH83,BM83))</f>
        <v>3.4932696871131222E-2</v>
      </c>
      <c r="BD83" s="273">
        <f>IF(IF(Funds!$J$10="no",BI83,BN83)=0,NA(),IF(Funds!$J$10="no",BI83,BN83))</f>
        <v>-0.12748143514566831</v>
      </c>
      <c r="BE83" s="273">
        <f>IF(IF(Funds!$J$10="no",BJ83,BO83)=0,NA(),IF(Funds!$J$10="no",BJ83,BO83))</f>
        <v>-0.26514764851397715</v>
      </c>
      <c r="BF83" s="273">
        <f>IF(IF(Funds!$J$10="no",BK83,BP83)=0,NA(),IF(Funds!$J$10="no",BK83,BP83))</f>
        <v>-2.4132475012210248</v>
      </c>
      <c r="BG83" s="274">
        <f ca="1">Funds!$R$34</f>
        <v>2.5919346055080732</v>
      </c>
      <c r="BH83" s="274">
        <f ca="1">Funds!$R$36</f>
        <v>1.3378677483181089E-2</v>
      </c>
      <c r="BI83" s="274">
        <f ca="1">Funds!$R$38</f>
        <v>-0.15972963753204919</v>
      </c>
      <c r="BJ83" s="274">
        <f ca="1">Funds!$R$40</f>
        <v>-0.16887551350866659</v>
      </c>
      <c r="BK83" s="274">
        <f ca="1">Funds!$R$42</f>
        <v>-1.9222891726906419</v>
      </c>
      <c r="BL83" s="274">
        <f>INDEX(LINEST(AW24:AW83,'AC2'!$F24:$J83,1,1),1,1)</f>
        <v>3.2092675861528552</v>
      </c>
      <c r="BM83" s="274">
        <f>INDEX(LINEST(AX24:AX83,'AC2'!$F24:$J83,1,1),1,1)</f>
        <v>3.4932696871131222E-2</v>
      </c>
      <c r="BN83" s="274">
        <f>INDEX(LINEST(AY24:AY83,'AC2'!$F24:$J83,1,1),1,1)</f>
        <v>-0.12748143514566831</v>
      </c>
      <c r="BO83" s="274">
        <f>INDEX(LINEST(AZ24:AZ83,'AC2'!$F24:$J83,1,1),1,1)</f>
        <v>-0.26514764851397715</v>
      </c>
      <c r="BP83" s="274">
        <f>INDEX(LINEST(BA24:BA83,'AC2'!$F24:$J83,1,1),1,1)</f>
        <v>-2.4132475012210248</v>
      </c>
      <c r="BR83" s="154"/>
      <c r="BT83" s="154"/>
      <c r="BU83" s="154"/>
      <c r="BX83" s="154"/>
      <c r="BZ83" s="154"/>
      <c r="CA83" s="154"/>
      <c r="CB83" s="154"/>
      <c r="CE83" s="154"/>
      <c r="CG83" s="218"/>
      <c r="CH83" s="154" t="s">
        <v>31</v>
      </c>
      <c r="CI83" s="158">
        <v>-4.2322100000000001E-2</v>
      </c>
      <c r="CJ83" s="153" t="str">
        <f t="shared" si="27"/>
        <v>United Arab Emirates</v>
      </c>
      <c r="CK83" s="153" t="s">
        <v>127</v>
      </c>
      <c r="CL83" s="158">
        <v>-0.55371959999999998</v>
      </c>
      <c r="CM83" s="153" t="e">
        <f t="shared" si="28"/>
        <v>#N/A</v>
      </c>
      <c r="CN83" s="154"/>
      <c r="CP83" s="154"/>
      <c r="CR83" s="154"/>
      <c r="CT83" s="154"/>
    </row>
    <row r="84" spans="6:98">
      <c r="F84" s="421">
        <v>42704</v>
      </c>
      <c r="G84" s="272">
        <f>BMG!F84</f>
        <v>2.9017399999999999E-2</v>
      </c>
      <c r="H84" s="272" t="e">
        <f>IF('Carbon Risk Factor BMG'!$G$10="yes",AVERAGE(AC!$G48:$G83),NA())</f>
        <v>#N/A</v>
      </c>
      <c r="I84" s="272" t="e">
        <f>IF('Carbon Risk Factor BMG'!$G$11="yes",MIN(AC!$G48:$G83),NA())</f>
        <v>#N/A</v>
      </c>
      <c r="J84" s="272" t="e">
        <f>IF('Carbon Risk Factor BMG'!$G$12="yes",MAX(AC!$G48:$G83),NA())</f>
        <v>#N/A</v>
      </c>
      <c r="K84" s="272" t="e">
        <f>IF('Carbon Risk Factor BMG'!$G$13="yes",_xlfn.STDEV.S(AC!$G48:$G83),NA())</f>
        <v>#N/A</v>
      </c>
      <c r="L84" s="272" t="e">
        <f>IF('Carbon Risk Factor BMG'!$G$14="yes",_xlfn.PERCENTILE.INC(AC!$G48:$G83,'Carbon Risk Factor BMG'!$H$14),NA())</f>
        <v>#N/A</v>
      </c>
      <c r="M84" s="272" t="e">
        <f>IF('Carbon Risk Factor BMG'!$G$15="yes",_xlfn.PERCENTILE.INC(AC!$G48:$G83,'Carbon Risk Factor BMG'!$H$15),NA())</f>
        <v>#N/A</v>
      </c>
      <c r="N84" s="272">
        <f t="shared" si="26"/>
        <v>-0.1945812659066527</v>
      </c>
      <c r="O84" s="272"/>
      <c r="P84" s="421">
        <v>42704</v>
      </c>
      <c r="Q84" s="154">
        <f>HLOOKUP(Q$1,'Asset Returns'!$F$1:$N$109,ROW(),0)</f>
        <v>-0.16556602716445923</v>
      </c>
      <c r="R84" s="154">
        <f>HLOOKUP(R$1,'Asset Returns'!$F$1:$N$109,ROW(),0)</f>
        <v>8.6176525801420212E-3</v>
      </c>
      <c r="S84" s="154">
        <f>HLOOKUP(S$1,'Asset Returns'!$F$1:$N$109,ROW(),0)</f>
        <v>-1.0879273526370525E-2</v>
      </c>
      <c r="T84" s="154">
        <f>HLOOKUP(T$1,'Asset Returns'!$F$1:$N$109,ROW(),0)</f>
        <v>6.4924448728561401E-2</v>
      </c>
      <c r="U84" s="154">
        <f>HLOOKUP(U$1,'Asset Returns'!$F$1:$N$109,ROW(),0)</f>
        <v>-4.3816864490509033E-2</v>
      </c>
      <c r="V84" s="273">
        <f>IF(IF(Equity!$J$10="no",AA84,AF84)=0,NA(),IF(Equity!$J$10="no",AA84,AF84))</f>
        <v>0.82940047700676567</v>
      </c>
      <c r="W84" s="273">
        <f>IF(IF(Equity!$J$10="no",AB84,AG84)=0,NA(),IF(Equity!$J$10="no",AB84,AG84))</f>
        <v>-1.359012506098644</v>
      </c>
      <c r="X84" s="273">
        <f>IF(IF(Equity!$J$10="no",AC84,AH84)=0,NA(),IF(Equity!$J$10="no",AC84,AH84))</f>
        <v>1.3179445168950954</v>
      </c>
      <c r="Y84" s="273">
        <f>IF(IF(Equity!$J$10="no",AD84,AI84)=0,NA(),IF(Equity!$J$10="no",AD84,AI84))</f>
        <v>0.14438792772297593</v>
      </c>
      <c r="Z84" s="273">
        <f>IF(IF(Equity!$J$10="no",AE84,AJ84)=0,NA(),IF(Equity!$J$10="no",AE84,AJ84))</f>
        <v>-0.3468140728924205</v>
      </c>
      <c r="AA84" s="274">
        <f ca="1">Equity!$R$34</f>
        <v>0.64097224418739052</v>
      </c>
      <c r="AB84" s="274">
        <f ca="1">Equity!$R$36</f>
        <v>-0.78557102570241866</v>
      </c>
      <c r="AC84" s="274">
        <f ca="1">Equity!$R$38</f>
        <v>0.9378377404978776</v>
      </c>
      <c r="AD84" s="274">
        <f ca="1">Equity!$R$40</f>
        <v>0.17519882647973573</v>
      </c>
      <c r="AE84" s="274">
        <f ca="1">Equity!$R$42</f>
        <v>7.3760094442444454E-2</v>
      </c>
      <c r="AF84" s="274">
        <f>INDEX(LINEST(Q25:Q84,'AC2'!$F25:$J84,1,1),1,1)</f>
        <v>0.82940047700676567</v>
      </c>
      <c r="AG84" s="274">
        <f>INDEX(LINEST(R25:R84,'AC2'!$F25:$J84,1,1),1,1)</f>
        <v>-1.359012506098644</v>
      </c>
      <c r="AH84" s="274">
        <f>INDEX(LINEST(S25:S84,'AC2'!$F25:$J84,1,1),1,1)</f>
        <v>1.3179445168950954</v>
      </c>
      <c r="AI84" s="274">
        <f>INDEX(LINEST(T25:T84,'AC2'!$F25:$J84,1,1),1,1)</f>
        <v>0.14438792772297593</v>
      </c>
      <c r="AJ84" s="274">
        <f>INDEX(LINEST(U25:U84,'AC2'!$F25:$J84,1,1),1,1)</f>
        <v>-0.3468140728924205</v>
      </c>
      <c r="AK84" s="274"/>
      <c r="AL84" s="421">
        <v>42704</v>
      </c>
      <c r="AM84" s="154">
        <f>HLOOKUP(AM$1,'Asset Returns'!$F$1:$ZS$109,ROW(),0)</f>
        <v>-5.2064712766367927E-2</v>
      </c>
      <c r="AN84" s="154">
        <f>HLOOKUP(AN$1,'Asset Returns'!$F$1:$ZS$109,ROW(),0)</f>
        <v>-3.287982350825025E-2</v>
      </c>
      <c r="AO84" s="273">
        <f ca="1">IF(IF(Bonds!$J$10="no",AQ84,AS84)=0,NA(),IF(Bonds!$J$10="no",AQ84,AS84))</f>
        <v>-0.12498736259259137</v>
      </c>
      <c r="AP84" s="273">
        <f ca="1">IF(IF(Bonds!$J$10="no",AR84,AT84)=0,NA(),IF(Bonds!$J$10="no",AR84,AT84))</f>
        <v>0.19970923689173462</v>
      </c>
      <c r="AQ84" s="273">
        <f ca="1">Bonds!$P$32</f>
        <v>-0.12498736259259137</v>
      </c>
      <c r="AR84" s="273">
        <f ca="1">Bonds!$P$34</f>
        <v>0.19970923689173462</v>
      </c>
      <c r="AS84" s="274">
        <f>INDEX(LINEST(AM25:AM84,'AC2'!$F25:$J84,1,1),1,1)</f>
        <v>0.34676595166179747</v>
      </c>
      <c r="AT84" s="274">
        <f>INDEX(LINEST(AN25:AN84,'AC2'!$F25:$J84,1,1),1,1)</f>
        <v>0.47249085335688384</v>
      </c>
      <c r="AU84" s="274"/>
      <c r="AV84" s="421">
        <v>42704</v>
      </c>
      <c r="AW84" s="154">
        <f>HLOOKUP(AW$1,'Asset Returns'!$F$1:$ZS$109,ROW(),0)</f>
        <v>-0.1795196</v>
      </c>
      <c r="AX84" s="154">
        <f>HLOOKUP(AX$1,'Asset Returns'!$F$1:$ZS$109,ROW(),0)</f>
        <v>1.4875899999999999E-2</v>
      </c>
      <c r="AY84" s="154">
        <f>HLOOKUP(AY$1,'Asset Returns'!$F$1:$ZS$109,ROW(),0)</f>
        <v>-2.7943099999999998E-2</v>
      </c>
      <c r="AZ84" s="154">
        <f>HLOOKUP(AZ$1,'Asset Returns'!$F$1:$ZS$109,ROW(),0)</f>
        <v>-2.5427599999999998E-3</v>
      </c>
      <c r="BA84" s="154">
        <f>HLOOKUP(BA$1,'Asset Returns'!$F$1:$ZS$109,ROW(),0)</f>
        <v>-0.17438400000000001</v>
      </c>
      <c r="BB84" s="273">
        <f>IF(IF(Funds!$J$10="no",BG84,BL84)=0,NA(),IF(Funds!$J$10="no",BG84,BL84))</f>
        <v>3.1025193001911009</v>
      </c>
      <c r="BC84" s="273">
        <f>IF(IF(Funds!$J$10="no",BH84,BM84)=0,NA(),IF(Funds!$J$10="no",BH84,BM84))</f>
        <v>4.0188929589378662E-2</v>
      </c>
      <c r="BD84" s="273">
        <f>IF(IF(Funds!$J$10="no",BI84,BN84)=0,NA(),IF(Funds!$J$10="no",BI84,BN84))</f>
        <v>-5.9983104566024313E-2</v>
      </c>
      <c r="BE84" s="273">
        <f>IF(IF(Funds!$J$10="no",BJ84,BO84)=0,NA(),IF(Funds!$J$10="no",BJ84,BO84))</f>
        <v>-0.25278506228846098</v>
      </c>
      <c r="BF84" s="273">
        <f>IF(IF(Funds!$J$10="no",BK84,BP84)=0,NA(),IF(Funds!$J$10="no",BK84,BP84))</f>
        <v>-2.287192243280094</v>
      </c>
      <c r="BG84" s="274">
        <f ca="1">Funds!$R$34</f>
        <v>2.5919346055080732</v>
      </c>
      <c r="BH84" s="274">
        <f ca="1">Funds!$R$36</f>
        <v>1.3378677483181089E-2</v>
      </c>
      <c r="BI84" s="274">
        <f ca="1">Funds!$R$38</f>
        <v>-0.15972963753204919</v>
      </c>
      <c r="BJ84" s="274">
        <f ca="1">Funds!$R$40</f>
        <v>-0.16887551350866659</v>
      </c>
      <c r="BK84" s="274">
        <f ca="1">Funds!$R$42</f>
        <v>-1.9222891726906419</v>
      </c>
      <c r="BL84" s="274">
        <f>INDEX(LINEST(AW25:AW84,'AC2'!$F25:$J84,1,1),1,1)</f>
        <v>3.1025193001911009</v>
      </c>
      <c r="BM84" s="274">
        <f>INDEX(LINEST(AX25:AX84,'AC2'!$F25:$J84,1,1),1,1)</f>
        <v>4.0188929589378662E-2</v>
      </c>
      <c r="BN84" s="274">
        <f>INDEX(LINEST(AY25:AY84,'AC2'!$F25:$J84,1,1),1,1)</f>
        <v>-5.9983104566024313E-2</v>
      </c>
      <c r="BO84" s="274">
        <f>INDEX(LINEST(AZ25:AZ84,'AC2'!$F25:$J84,1,1),1,1)</f>
        <v>-0.25278506228846098</v>
      </c>
      <c r="BP84" s="274">
        <f>INDEX(LINEST(BA25:BA84,'AC2'!$F25:$J84,1,1),1,1)</f>
        <v>-2.287192243280094</v>
      </c>
      <c r="BR84" s="154"/>
      <c r="BT84" s="154"/>
      <c r="BU84" s="154"/>
      <c r="BX84" s="154"/>
      <c r="BZ84" s="154"/>
      <c r="CA84" s="154"/>
      <c r="CB84" s="154"/>
      <c r="CE84" s="154"/>
      <c r="CG84" s="218"/>
      <c r="CH84" s="154" t="s">
        <v>54</v>
      </c>
      <c r="CI84" s="158">
        <v>-0.24432290000000001</v>
      </c>
      <c r="CJ84" s="153" t="str">
        <f t="shared" si="27"/>
        <v>United Kingdom</v>
      </c>
      <c r="CK84" s="153" t="s">
        <v>99</v>
      </c>
      <c r="CL84" s="158">
        <v>-0.2209952</v>
      </c>
      <c r="CM84" s="153" t="str">
        <f t="shared" si="28"/>
        <v>Tunisia</v>
      </c>
      <c r="CN84" s="154"/>
      <c r="CP84" s="154"/>
      <c r="CR84" s="154"/>
      <c r="CT84" s="154"/>
    </row>
    <row r="85" spans="6:98">
      <c r="F85" s="421">
        <v>42735</v>
      </c>
      <c r="G85" s="272">
        <f>BMG!F85</f>
        <v>-8.5018000000000003E-3</v>
      </c>
      <c r="H85" s="272" t="e">
        <f>IF('Carbon Risk Factor BMG'!$G$10="yes",AVERAGE(AC!$G49:$G84),NA())</f>
        <v>#N/A</v>
      </c>
      <c r="I85" s="272" t="e">
        <f>IF('Carbon Risk Factor BMG'!$G$11="yes",MIN(AC!$G49:$G84),NA())</f>
        <v>#N/A</v>
      </c>
      <c r="J85" s="272" t="e">
        <f>IF('Carbon Risk Factor BMG'!$G$12="yes",MAX(AC!$G49:$G84),NA())</f>
        <v>#N/A</v>
      </c>
      <c r="K85" s="272" t="e">
        <f>IF('Carbon Risk Factor BMG'!$G$13="yes",_xlfn.STDEV.S(AC!$G49:$G84),NA())</f>
        <v>#N/A</v>
      </c>
      <c r="L85" s="272" t="e">
        <f>IF('Carbon Risk Factor BMG'!$G$14="yes",_xlfn.PERCENTILE.INC(AC!$G49:$G84,'Carbon Risk Factor BMG'!$H$14),NA())</f>
        <v>#N/A</v>
      </c>
      <c r="M85" s="272" t="e">
        <f>IF('Carbon Risk Factor BMG'!$G$15="yes",_xlfn.PERCENTILE.INC(AC!$G49:$G84,'Carbon Risk Factor BMG'!$H$15),NA())</f>
        <v>#N/A</v>
      </c>
      <c r="N85" s="272">
        <f t="shared" si="26"/>
        <v>-0.20142877490016753</v>
      </c>
      <c r="O85" s="272"/>
      <c r="P85" s="421">
        <v>42735</v>
      </c>
      <c r="Q85" s="154">
        <f>HLOOKUP(Q$1,'Asset Returns'!$F$1:$N$109,ROW(),0)</f>
        <v>3.6117672920227051E-2</v>
      </c>
      <c r="R85" s="154">
        <f>HLOOKUP(R$1,'Asset Returns'!$F$1:$N$109,ROW(),0)</f>
        <v>1.0287058539688587E-2</v>
      </c>
      <c r="S85" s="154">
        <f>HLOOKUP(S$1,'Asset Returns'!$F$1:$N$109,ROW(),0)</f>
        <v>9.6640869975090027E-2</v>
      </c>
      <c r="T85" s="154">
        <f>HLOOKUP(T$1,'Asset Returns'!$F$1:$N$109,ROW(),0)</f>
        <v>2.2940050810575485E-2</v>
      </c>
      <c r="U85" s="154">
        <f>HLOOKUP(U$1,'Asset Returns'!$F$1:$N$109,ROW(),0)</f>
        <v>1.0617352090775967E-3</v>
      </c>
      <c r="V85" s="273">
        <f>IF(IF(Equity!$J$10="no",AA85,AF85)=0,NA(),IF(Equity!$J$10="no",AA85,AF85))</f>
        <v>0.79940769163997072</v>
      </c>
      <c r="W85" s="273">
        <f>IF(IF(Equity!$J$10="no",AB85,AG85)=0,NA(),IF(Equity!$J$10="no",AB85,AG85))</f>
        <v>-1.3301806879392704</v>
      </c>
      <c r="X85" s="273">
        <f>IF(IF(Equity!$J$10="no",AC85,AH85)=0,NA(),IF(Equity!$J$10="no",AC85,AH85))</f>
        <v>1.253281937996098</v>
      </c>
      <c r="Y85" s="273">
        <f>IF(IF(Equity!$J$10="no",AD85,AI85)=0,NA(),IF(Equity!$J$10="no",AD85,AI85))</f>
        <v>0.13914286340321577</v>
      </c>
      <c r="Z85" s="273">
        <f>IF(IF(Equity!$J$10="no",AE85,AJ85)=0,NA(),IF(Equity!$J$10="no",AE85,AJ85))</f>
        <v>-0.32799545672389319</v>
      </c>
      <c r="AA85" s="274">
        <f ca="1">Equity!$R$34</f>
        <v>0.64097224418739052</v>
      </c>
      <c r="AB85" s="274">
        <f ca="1">Equity!$R$36</f>
        <v>-0.78557102570241866</v>
      </c>
      <c r="AC85" s="274">
        <f ca="1">Equity!$R$38</f>
        <v>0.9378377404978776</v>
      </c>
      <c r="AD85" s="274">
        <f ca="1">Equity!$R$40</f>
        <v>0.17519882647973573</v>
      </c>
      <c r="AE85" s="274">
        <f ca="1">Equity!$R$42</f>
        <v>7.3760094442444454E-2</v>
      </c>
      <c r="AF85" s="274">
        <f>INDEX(LINEST(Q26:Q85,'AC2'!$F26:$J85,1,1),1,1)</f>
        <v>0.79940769163997072</v>
      </c>
      <c r="AG85" s="274">
        <f>INDEX(LINEST(R26:R85,'AC2'!$F26:$J85,1,1),1,1)</f>
        <v>-1.3301806879392704</v>
      </c>
      <c r="AH85" s="274">
        <f>INDEX(LINEST(S26:S85,'AC2'!$F26:$J85,1,1),1,1)</f>
        <v>1.253281937996098</v>
      </c>
      <c r="AI85" s="274">
        <f>INDEX(LINEST(T26:T85,'AC2'!$F26:$J85,1,1),1,1)</f>
        <v>0.13914286340321577</v>
      </c>
      <c r="AJ85" s="274">
        <f>INDEX(LINEST(U26:U85,'AC2'!$F26:$J85,1,1),1,1)</f>
        <v>-0.32799545672389319</v>
      </c>
      <c r="AK85" s="274"/>
      <c r="AL85" s="421">
        <v>42735</v>
      </c>
      <c r="AM85" s="154">
        <f>HLOOKUP(AM$1,'Asset Returns'!$F$1:$ZS$109,ROW(),0)</f>
        <v>2.1214752308015727E-2</v>
      </c>
      <c r="AN85" s="154">
        <f>HLOOKUP(AN$1,'Asset Returns'!$F$1:$ZS$109,ROW(),0)</f>
        <v>-5.1314686756329664E-3</v>
      </c>
      <c r="AO85" s="273">
        <f ca="1">IF(IF(Bonds!$J$10="no",AQ85,AS85)=0,NA(),IF(Bonds!$J$10="no",AQ85,AS85))</f>
        <v>-0.12498736259259137</v>
      </c>
      <c r="AP85" s="273">
        <f ca="1">IF(IF(Bonds!$J$10="no",AR85,AT85)=0,NA(),IF(Bonds!$J$10="no",AR85,AT85))</f>
        <v>0.19970923689173462</v>
      </c>
      <c r="AQ85" s="273">
        <f ca="1">Bonds!$P$32</f>
        <v>-0.12498736259259137</v>
      </c>
      <c r="AR85" s="273">
        <f ca="1">Bonds!$P$34</f>
        <v>0.19970923689173462</v>
      </c>
      <c r="AS85" s="274">
        <f>INDEX(LINEST(AM26:AM85,'AC2'!$F26:$J85,1,1),1,1)</f>
        <v>0.31401232003458107</v>
      </c>
      <c r="AT85" s="274">
        <f>INDEX(LINEST(AN26:AN85,'AC2'!$F26:$J85,1,1),1,1)</f>
        <v>0.45539026165396113</v>
      </c>
      <c r="AU85" s="274"/>
      <c r="AV85" s="421">
        <v>42735</v>
      </c>
      <c r="AW85" s="154">
        <f>HLOOKUP(AW$1,'Asset Returns'!$F$1:$ZS$109,ROW(),0)</f>
        <v>-1.8047299999999999E-2</v>
      </c>
      <c r="AX85" s="154">
        <f>HLOOKUP(AX$1,'Asset Returns'!$F$1:$ZS$109,ROW(),0)</f>
        <v>2.3723499999999998E-2</v>
      </c>
      <c r="AY85" s="154">
        <f>HLOOKUP(AY$1,'Asset Returns'!$F$1:$ZS$109,ROW(),0)</f>
        <v>4.9779359999999995E-2</v>
      </c>
      <c r="AZ85" s="154">
        <f>HLOOKUP(AZ$1,'Asset Returns'!$F$1:$ZS$109,ROW(),0)</f>
        <v>1.368898E-2</v>
      </c>
      <c r="BA85" s="154">
        <f>HLOOKUP(BA$1,'Asset Returns'!$F$1:$ZS$109,ROW(),0)</f>
        <v>-3.6789299999999997E-2</v>
      </c>
      <c r="BB85" s="273">
        <f>IF(IF(Funds!$J$10="no",BG85,BL85)=0,NA(),IF(Funds!$J$10="no",BG85,BL85))</f>
        <v>3.0800715431690566</v>
      </c>
      <c r="BC85" s="273">
        <f>IF(IF(Funds!$J$10="no",BH85,BM85)=0,NA(),IF(Funds!$J$10="no",BH85,BM85))</f>
        <v>3.7269037956028248E-2</v>
      </c>
      <c r="BD85" s="273">
        <f>IF(IF(Funds!$J$10="no",BI85,BN85)=0,NA(),IF(Funds!$J$10="no",BI85,BN85))</f>
        <v>-8.5474896592701369E-2</v>
      </c>
      <c r="BE85" s="273">
        <f>IF(IF(Funds!$J$10="no",BJ85,BO85)=0,NA(),IF(Funds!$J$10="no",BJ85,BO85))</f>
        <v>-0.24373007375146843</v>
      </c>
      <c r="BF85" s="273">
        <f>IF(IF(Funds!$J$10="no",BK85,BP85)=0,NA(),IF(Funds!$J$10="no",BK85,BP85))</f>
        <v>-2.3089190067810543</v>
      </c>
      <c r="BG85" s="274">
        <f ca="1">Funds!$R$34</f>
        <v>2.5919346055080732</v>
      </c>
      <c r="BH85" s="274">
        <f ca="1">Funds!$R$36</f>
        <v>1.3378677483181089E-2</v>
      </c>
      <c r="BI85" s="274">
        <f ca="1">Funds!$R$38</f>
        <v>-0.15972963753204919</v>
      </c>
      <c r="BJ85" s="274">
        <f ca="1">Funds!$R$40</f>
        <v>-0.16887551350866659</v>
      </c>
      <c r="BK85" s="274">
        <f ca="1">Funds!$R$42</f>
        <v>-1.9222891726906419</v>
      </c>
      <c r="BL85" s="274">
        <f>INDEX(LINEST(AW26:AW85,'AC2'!$F26:$J85,1,1),1,1)</f>
        <v>3.0800715431690566</v>
      </c>
      <c r="BM85" s="274">
        <f>INDEX(LINEST(AX26:AX85,'AC2'!$F26:$J85,1,1),1,1)</f>
        <v>3.7269037956028248E-2</v>
      </c>
      <c r="BN85" s="274">
        <f>INDEX(LINEST(AY26:AY85,'AC2'!$F26:$J85,1,1),1,1)</f>
        <v>-8.5474896592701369E-2</v>
      </c>
      <c r="BO85" s="274">
        <f>INDEX(LINEST(AZ26:AZ85,'AC2'!$F26:$J85,1,1),1,1)</f>
        <v>-0.24373007375146843</v>
      </c>
      <c r="BP85" s="274">
        <f>INDEX(LINEST(BA26:BA85,'AC2'!$F26:$J85,1,1),1,1)</f>
        <v>-2.3089190067810543</v>
      </c>
      <c r="BR85" s="154"/>
      <c r="BT85" s="154"/>
      <c r="BU85" s="154"/>
      <c r="BX85" s="154"/>
      <c r="BZ85" s="154"/>
      <c r="CA85" s="154"/>
      <c r="CB85" s="154"/>
      <c r="CE85" s="154"/>
      <c r="CG85" s="218"/>
      <c r="CH85" s="154" t="s">
        <v>103</v>
      </c>
      <c r="CI85" s="158">
        <v>0.14497860000000001</v>
      </c>
      <c r="CJ85" s="153" t="str">
        <f t="shared" si="27"/>
        <v>United States of America</v>
      </c>
      <c r="CK85" s="153" t="s">
        <v>100</v>
      </c>
      <c r="CL85" s="158">
        <v>-8.6750000000000004E-3</v>
      </c>
      <c r="CM85" s="153" t="str">
        <f t="shared" si="28"/>
        <v>Turkey</v>
      </c>
      <c r="CN85" s="154"/>
      <c r="CP85" s="154"/>
      <c r="CR85" s="154"/>
      <c r="CT85" s="154"/>
    </row>
    <row r="86" spans="6:98">
      <c r="F86" s="421">
        <v>42766</v>
      </c>
      <c r="G86" s="272">
        <f>BMG!F86</f>
        <v>4.2214500000000002E-2</v>
      </c>
      <c r="H86" s="272" t="e">
        <f>IF('Carbon Risk Factor BMG'!$G$10="yes",AVERAGE(AC!$G50:$G85),NA())</f>
        <v>#N/A</v>
      </c>
      <c r="I86" s="272" t="e">
        <f>IF('Carbon Risk Factor BMG'!$G$11="yes",MIN(AC!$G50:$G85),NA())</f>
        <v>#N/A</v>
      </c>
      <c r="J86" s="272" t="e">
        <f>IF('Carbon Risk Factor BMG'!$G$12="yes",MAX(AC!$G50:$G85),NA())</f>
        <v>#N/A</v>
      </c>
      <c r="K86" s="272" t="e">
        <f>IF('Carbon Risk Factor BMG'!$G$13="yes",_xlfn.STDEV.S(AC!$G50:$G85),NA())</f>
        <v>#N/A</v>
      </c>
      <c r="L86" s="272" t="e">
        <f>IF('Carbon Risk Factor BMG'!$G$14="yes",_xlfn.PERCENTILE.INC(AC!$G50:$G85,'Carbon Risk Factor BMG'!$H$14),NA())</f>
        <v>#N/A</v>
      </c>
      <c r="M86" s="272" t="e">
        <f>IF('Carbon Risk Factor BMG'!$G$15="yes",_xlfn.PERCENTILE.INC(AC!$G50:$G85,'Carbon Risk Factor BMG'!$H$15),NA())</f>
        <v>#N/A</v>
      </c>
      <c r="N86" s="272">
        <f t="shared" si="26"/>
        <v>-0.16771748991819058</v>
      </c>
      <c r="P86" s="421">
        <v>42766</v>
      </c>
      <c r="Q86" s="154">
        <f>HLOOKUP(Q$1,'Asset Returns'!$F$1:$N$109,ROW(),0)</f>
        <v>0.10964467005076139</v>
      </c>
      <c r="R86" s="154">
        <f>HLOOKUP(R$1,'Asset Returns'!$F$1:$N$109,ROW(),0)</f>
        <v>-8.1790787774430607E-3</v>
      </c>
      <c r="S86" s="154">
        <f>HLOOKUP(S$1,'Asset Returns'!$F$1:$N$109,ROW(),0)</f>
        <v>-5.5256596106326272E-2</v>
      </c>
      <c r="T86" s="154">
        <f>HLOOKUP(T$1,'Asset Returns'!$F$1:$N$109,ROW(),0)</f>
        <v>5.1386619984638671E-2</v>
      </c>
      <c r="U86" s="154">
        <f>HLOOKUP(U$1,'Asset Returns'!$F$1:$N$109,ROW(),0)</f>
        <v>0.10131138714289833</v>
      </c>
      <c r="V86" s="273">
        <f>IF(IF(Equity!$J$10="no",AA86,AF86)=0,NA(),IF(Equity!$J$10="no",AA86,AF86))</f>
        <v>0.74064323534291454</v>
      </c>
      <c r="W86" s="273">
        <f>IF(IF(Equity!$J$10="no",AB86,AG86)=0,NA(),IF(Equity!$J$10="no",AB86,AG86))</f>
        <v>-1.2573778013218633</v>
      </c>
      <c r="X86" s="273">
        <f>IF(IF(Equity!$J$10="no",AC86,AH86)=0,NA(),IF(Equity!$J$10="no",AC86,AH86))</f>
        <v>0.88503981857730651</v>
      </c>
      <c r="Y86" s="273">
        <f>IF(IF(Equity!$J$10="no",AD86,AI86)=0,NA(),IF(Equity!$J$10="no",AD86,AI86))</f>
        <v>0.21163125355660362</v>
      </c>
      <c r="Z86" s="273">
        <f>IF(IF(Equity!$J$10="no",AE86,AJ86)=0,NA(),IF(Equity!$J$10="no",AE86,AJ86))</f>
        <v>-0.16421319793660874</v>
      </c>
      <c r="AA86" s="274">
        <f ca="1">Equity!$R$34</f>
        <v>0.64097224418739052</v>
      </c>
      <c r="AB86" s="274">
        <f ca="1">Equity!$R$36</f>
        <v>-0.78557102570241866</v>
      </c>
      <c r="AC86" s="274">
        <f ca="1">Equity!$R$38</f>
        <v>0.9378377404978776</v>
      </c>
      <c r="AD86" s="274">
        <f ca="1">Equity!$R$40</f>
        <v>0.17519882647973573</v>
      </c>
      <c r="AE86" s="274">
        <f ca="1">Equity!$R$42</f>
        <v>7.3760094442444454E-2</v>
      </c>
      <c r="AF86" s="274">
        <f>INDEX(LINEST(Q27:Q86,'AC2'!$F27:$J86,1,1),1,1)</f>
        <v>0.74064323534291454</v>
      </c>
      <c r="AG86" s="274">
        <f>INDEX(LINEST(R27:R86,'AC2'!$F27:$J86,1,1),1,1)</f>
        <v>-1.2573778013218633</v>
      </c>
      <c r="AH86" s="274">
        <f>INDEX(LINEST(S27:S86,'AC2'!$F27:$J86,1,1),1,1)</f>
        <v>0.88503981857730651</v>
      </c>
      <c r="AI86" s="274">
        <f>INDEX(LINEST(T27:T86,'AC2'!$F27:$J86,1,1),1,1)</f>
        <v>0.21163125355660362</v>
      </c>
      <c r="AJ86" s="274">
        <f>INDEX(LINEST(U27:U86,'AC2'!$F27:$J86,1,1),1,1)</f>
        <v>-0.16421319793660874</v>
      </c>
      <c r="AK86" s="154"/>
      <c r="AL86" s="421">
        <v>42766</v>
      </c>
      <c r="AM86" s="154">
        <f>HLOOKUP(AM$1,'Asset Returns'!$F$1:$ZS$109,ROW(),0)</f>
        <v>4.7825119479760758E-4</v>
      </c>
      <c r="AN86" s="154">
        <f>HLOOKUP(AN$1,'Asset Returns'!$F$1:$ZS$109,ROW(),0)</f>
        <v>8.2572030920591288E-3</v>
      </c>
      <c r="AO86" s="273">
        <f ca="1">IF(IF(Bonds!$J$10="no",AQ86,AS86)=0,NA(),IF(Bonds!$J$10="no",AQ86,AS86))</f>
        <v>-0.12498736259259137</v>
      </c>
      <c r="AP86" s="273">
        <f ca="1">IF(IF(Bonds!$J$10="no",AR86,AT86)=0,NA(),IF(Bonds!$J$10="no",AR86,AT86))</f>
        <v>0.19970923689173462</v>
      </c>
      <c r="AQ86" s="273">
        <f ca="1">Bonds!$P$32</f>
        <v>-0.12498736259259137</v>
      </c>
      <c r="AR86" s="273">
        <f ca="1">Bonds!$P$34</f>
        <v>0.19970923689173462</v>
      </c>
      <c r="AS86" s="274">
        <f>INDEX(LINEST(AM27:AM86,'AC2'!$F27:$J86,1,1),1,1)</f>
        <v>0.25276897676078769</v>
      </c>
      <c r="AT86" s="274">
        <f>INDEX(LINEST(AN27:AN86,'AC2'!$F27:$J86,1,1),1,1)</f>
        <v>0.40424178674594496</v>
      </c>
      <c r="AU86" s="154"/>
      <c r="AV86" s="421">
        <v>42766</v>
      </c>
      <c r="AW86" s="154">
        <f>HLOOKUP(AW$1,'Asset Returns'!$F$1:$ZS$109,ROW(),0)</f>
        <v>0.14488190000000001</v>
      </c>
      <c r="AX86" s="154">
        <f>HLOOKUP(AX$1,'Asset Returns'!$F$1:$ZS$109,ROW(),0)</f>
        <v>2.36969E-2</v>
      </c>
      <c r="AY86" s="154">
        <f>HLOOKUP(AY$1,'Asset Returns'!$F$1:$ZS$109,ROW(),0)</f>
        <v>3.3691260000000001E-2</v>
      </c>
      <c r="AZ86" s="154">
        <f>HLOOKUP(AZ$1,'Asset Returns'!$F$1:$ZS$109,ROW(),0)</f>
        <v>2.9674740000000002E-2</v>
      </c>
      <c r="BA86" s="154">
        <f>HLOOKUP(BA$1,'Asset Returns'!$F$1:$ZS$109,ROW(),0)</f>
        <v>6.5437999999999996E-2</v>
      </c>
      <c r="BB86" s="273">
        <f>IF(IF(Funds!$J$10="no",BG86,BL86)=0,NA(),IF(Funds!$J$10="no",BG86,BL86))</f>
        <v>3.0288395805986927</v>
      </c>
      <c r="BC86" s="273">
        <f>IF(IF(Funds!$J$10="no",BH86,BM86)=0,NA(),IF(Funds!$J$10="no",BH86,BM86))</f>
        <v>2.5616258625074738E-2</v>
      </c>
      <c r="BD86" s="273">
        <f>IF(IF(Funds!$J$10="no",BI86,BN86)=0,NA(),IF(Funds!$J$10="no",BI86,BN86))</f>
        <v>-4.5199189303641384E-2</v>
      </c>
      <c r="BE86" s="273">
        <f>IF(IF(Funds!$J$10="no",BJ86,BO86)=0,NA(),IF(Funds!$J$10="no",BJ86,BO86))</f>
        <v>-0.20180081353348861</v>
      </c>
      <c r="BF86" s="273">
        <f>IF(IF(Funds!$J$10="no",BK86,BP86)=0,NA(),IF(Funds!$J$10="no",BK86,BP86))</f>
        <v>-1.7442533086928274</v>
      </c>
      <c r="BG86" s="274">
        <f ca="1">Funds!$R$34</f>
        <v>2.5919346055080732</v>
      </c>
      <c r="BH86" s="274">
        <f ca="1">Funds!$R$36</f>
        <v>1.3378677483181089E-2</v>
      </c>
      <c r="BI86" s="274">
        <f ca="1">Funds!$R$38</f>
        <v>-0.15972963753204919</v>
      </c>
      <c r="BJ86" s="274">
        <f ca="1">Funds!$R$40</f>
        <v>-0.16887551350866659</v>
      </c>
      <c r="BK86" s="274">
        <f ca="1">Funds!$R$42</f>
        <v>-1.9222891726906419</v>
      </c>
      <c r="BL86" s="274">
        <f>INDEX(LINEST(AW27:AW86,'AC2'!$F27:$J86,1,1),1,1)</f>
        <v>3.0288395805986927</v>
      </c>
      <c r="BM86" s="274">
        <f>INDEX(LINEST(AX27:AX86,'AC2'!$F27:$J86,1,1),1,1)</f>
        <v>2.5616258625074738E-2</v>
      </c>
      <c r="BN86" s="274">
        <f>INDEX(LINEST(AY27:AY86,'AC2'!$F27:$J86,1,1),1,1)</f>
        <v>-4.5199189303641384E-2</v>
      </c>
      <c r="BO86" s="274">
        <f>INDEX(LINEST(AZ27:AZ86,'AC2'!$F27:$J86,1,1),1,1)</f>
        <v>-0.20180081353348861</v>
      </c>
      <c r="BP86" s="274">
        <f>INDEX(LINEST(BA27:BA86,'AC2'!$F27:$J86,1,1),1,1)</f>
        <v>-1.7442533086928274</v>
      </c>
      <c r="BR86" s="154"/>
      <c r="BT86" s="154"/>
      <c r="BU86" s="154"/>
      <c r="BX86" s="154"/>
      <c r="BZ86" s="154"/>
      <c r="CA86" s="154"/>
      <c r="CB86" s="154"/>
      <c r="CE86" s="154"/>
      <c r="CG86" s="218"/>
      <c r="CH86" s="154" t="s">
        <v>104</v>
      </c>
      <c r="CI86" s="158">
        <v>-9.0706899999999993E-2</v>
      </c>
      <c r="CJ86" s="153" t="str">
        <f t="shared" si="27"/>
        <v>Vietnam</v>
      </c>
      <c r="CK86" s="153" t="s">
        <v>102</v>
      </c>
      <c r="CL86" s="158">
        <v>0.25183800000000001</v>
      </c>
      <c r="CM86" s="153" t="str">
        <f t="shared" si="28"/>
        <v>Ukraine</v>
      </c>
      <c r="CN86" s="154"/>
      <c r="CP86" s="154"/>
      <c r="CR86" s="154"/>
      <c r="CT86" s="154"/>
    </row>
    <row r="87" spans="6:98">
      <c r="F87" s="421">
        <v>42794</v>
      </c>
      <c r="G87" s="272">
        <f>BMG!F87</f>
        <v>-1.34343E-2</v>
      </c>
      <c r="H87" s="272" t="e">
        <f>IF('Carbon Risk Factor BMG'!$G$10="yes",AVERAGE(AC!$G51:$G86),NA())</f>
        <v>#N/A</v>
      </c>
      <c r="I87" s="272" t="e">
        <f>IF('Carbon Risk Factor BMG'!$G$11="yes",MIN(AC!$G51:$G86),NA())</f>
        <v>#N/A</v>
      </c>
      <c r="J87" s="272" t="e">
        <f>IF('Carbon Risk Factor BMG'!$G$12="yes",MAX(AC!$G51:$G86),NA())</f>
        <v>#N/A</v>
      </c>
      <c r="K87" s="272" t="e">
        <f>IF('Carbon Risk Factor BMG'!$G$13="yes",_xlfn.STDEV.S(AC!$G51:$G86),NA())</f>
        <v>#N/A</v>
      </c>
      <c r="L87" s="272" t="e">
        <f>IF('Carbon Risk Factor BMG'!$G$14="yes",_xlfn.PERCENTILE.INC(AC!$G51:$G86,'Carbon Risk Factor BMG'!$H$14),NA())</f>
        <v>#N/A</v>
      </c>
      <c r="M87" s="272" t="e">
        <f>IF('Carbon Risk Factor BMG'!$G$15="yes",_xlfn.PERCENTILE.INC(AC!$G51:$G86,'Carbon Risk Factor BMG'!$H$15),NA())</f>
        <v>#N/A</v>
      </c>
      <c r="N87" s="272">
        <f t="shared" si="26"/>
        <v>-0.17889862284338265</v>
      </c>
      <c r="P87" s="421">
        <v>42794</v>
      </c>
      <c r="Q87" s="154">
        <f>HLOOKUP(Q$1,'Asset Returns'!$F$1:$N$109,ROW(),0)</f>
        <v>-0.11292641484773236</v>
      </c>
      <c r="R87" s="154">
        <f>HLOOKUP(R$1,'Asset Returns'!$F$1:$N$109,ROW(),0)</f>
        <v>-2.734375E-2</v>
      </c>
      <c r="S87" s="154">
        <f>HLOOKUP(S$1,'Asset Returns'!$F$1:$N$109,ROW(),0)</f>
        <v>-3.3999413455879979E-2</v>
      </c>
      <c r="T87" s="154">
        <f>HLOOKUP(T$1,'Asset Returns'!$F$1:$N$109,ROW(),0)</f>
        <v>3.8558666800164731E-2</v>
      </c>
      <c r="U87" s="154">
        <f>HLOOKUP(U$1,'Asset Returns'!$F$1:$N$109,ROW(),0)</f>
        <v>4.3746811538427188E-2</v>
      </c>
      <c r="V87" s="273">
        <f>IF(IF(Equity!$J$10="no",AA87,AF87)=0,NA(),IF(Equity!$J$10="no",AA87,AF87))</f>
        <v>0.77162636902137782</v>
      </c>
      <c r="W87" s="273">
        <f>IF(IF(Equity!$J$10="no",AB87,AG87)=0,NA(),IF(Equity!$J$10="no",AB87,AG87))</f>
        <v>-1.2328113547477946</v>
      </c>
      <c r="X87" s="273">
        <f>IF(IF(Equity!$J$10="no",AC87,AH87)=0,NA(),IF(Equity!$J$10="no",AC87,AH87))</f>
        <v>0.89593821011664998</v>
      </c>
      <c r="Y87" s="273">
        <f>IF(IF(Equity!$J$10="no",AD87,AI87)=0,NA(),IF(Equity!$J$10="no",AD87,AI87))</f>
        <v>0.20476364975123737</v>
      </c>
      <c r="Z87" s="273">
        <f>IF(IF(Equity!$J$10="no",AE87,AJ87)=0,NA(),IF(Equity!$J$10="no",AE87,AJ87))</f>
        <v>-0.16471384265215572</v>
      </c>
      <c r="AA87" s="274">
        <f ca="1">Equity!$R$34</f>
        <v>0.64097224418739052</v>
      </c>
      <c r="AB87" s="274">
        <f ca="1">Equity!$R$36</f>
        <v>-0.78557102570241866</v>
      </c>
      <c r="AC87" s="274">
        <f ca="1">Equity!$R$38</f>
        <v>0.9378377404978776</v>
      </c>
      <c r="AD87" s="274">
        <f ca="1">Equity!$R$40</f>
        <v>0.17519882647973573</v>
      </c>
      <c r="AE87" s="274">
        <f ca="1">Equity!$R$42</f>
        <v>7.3760094442444454E-2</v>
      </c>
      <c r="AF87" s="274">
        <f>INDEX(LINEST(Q28:Q87,'AC2'!$F28:$J87,1,1),1,1)</f>
        <v>0.77162636902137782</v>
      </c>
      <c r="AG87" s="274">
        <f>INDEX(LINEST(R28:R87,'AC2'!$F28:$J87,1,1),1,1)</f>
        <v>-1.2328113547477946</v>
      </c>
      <c r="AH87" s="274">
        <f>INDEX(LINEST(S28:S87,'AC2'!$F28:$J87,1,1),1,1)</f>
        <v>0.89593821011664998</v>
      </c>
      <c r="AI87" s="274">
        <f>INDEX(LINEST(T28:T87,'AC2'!$F28:$J87,1,1),1,1)</f>
        <v>0.20476364975123737</v>
      </c>
      <c r="AJ87" s="274">
        <f>INDEX(LINEST(U28:U87,'AC2'!$F28:$J87,1,1),1,1)</f>
        <v>-0.16471384265215572</v>
      </c>
      <c r="AK87" s="274"/>
      <c r="AL87" s="421">
        <v>42794</v>
      </c>
      <c r="AM87" s="154">
        <f>HLOOKUP(AM$1,'Asset Returns'!$F$1:$ZS$109,ROW(),0)</f>
        <v>1.6249448116292475E-2</v>
      </c>
      <c r="AN87" s="154">
        <f>HLOOKUP(AN$1,'Asset Returns'!$F$1:$ZS$109,ROW(),0)</f>
        <v>1.6776799317311575E-2</v>
      </c>
      <c r="AO87" s="273">
        <f ca="1">IF(IF(Bonds!$J$10="no",AQ87,AS87)=0,NA(),IF(Bonds!$J$10="no",AQ87,AS87))</f>
        <v>-0.12498736259259137</v>
      </c>
      <c r="AP87" s="273">
        <f ca="1">IF(IF(Bonds!$J$10="no",AR87,AT87)=0,NA(),IF(Bonds!$J$10="no",AR87,AT87))</f>
        <v>0.19970923689173462</v>
      </c>
      <c r="AQ87" s="273">
        <f ca="1">Bonds!$P$32</f>
        <v>-0.12498736259259137</v>
      </c>
      <c r="AR87" s="273">
        <f ca="1">Bonds!$P$34</f>
        <v>0.19970923689173462</v>
      </c>
      <c r="AS87" s="274">
        <f>INDEX(LINEST(AM28:AM87,'AC2'!$F28:$J87,1,1),1,1)</f>
        <v>0.24923637445975802</v>
      </c>
      <c r="AT87" s="274">
        <f>INDEX(LINEST(AN28:AN87,'AC2'!$F28:$J87,1,1),1,1)</f>
        <v>0.4000706561712653</v>
      </c>
      <c r="AU87" s="274"/>
      <c r="AV87" s="421">
        <v>42794</v>
      </c>
      <c r="AW87" s="154">
        <f>HLOOKUP(AW$1,'Asset Returns'!$F$1:$ZS$109,ROW(),0)</f>
        <v>-3.0261300000000001E-2</v>
      </c>
      <c r="AX87" s="154">
        <f>HLOOKUP(AX$1,'Asset Returns'!$F$1:$ZS$109,ROW(),0)</f>
        <v>2.7430400000000001E-2</v>
      </c>
      <c r="AY87" s="154">
        <f>HLOOKUP(AY$1,'Asset Returns'!$F$1:$ZS$109,ROW(),0)</f>
        <v>3.7009999999999999E-3</v>
      </c>
      <c r="AZ87" s="154">
        <f>HLOOKUP(AZ$1,'Asset Returns'!$F$1:$ZS$109,ROW(),0)</f>
        <v>1.5280480000000001E-2</v>
      </c>
      <c r="BA87" s="154">
        <f>HLOOKUP(BA$1,'Asset Returns'!$F$1:$ZS$109,ROW(),0)</f>
        <v>4.4622700000000001E-2</v>
      </c>
      <c r="BB87" s="273">
        <f>IF(IF(Funds!$J$10="no",BG87,BL87)=0,NA(),IF(Funds!$J$10="no",BG87,BL87))</f>
        <v>3.0316919998655716</v>
      </c>
      <c r="BC87" s="273">
        <f>IF(IF(Funds!$J$10="no",BH87,BM87)=0,NA(),IF(Funds!$J$10="no",BH87,BM87))</f>
        <v>2.4663750343476055E-2</v>
      </c>
      <c r="BD87" s="273">
        <f>IF(IF(Funds!$J$10="no",BI87,BN87)=0,NA(),IF(Funds!$J$10="no",BI87,BN87))</f>
        <v>-3.934077228052469E-2</v>
      </c>
      <c r="BE87" s="273">
        <f>IF(IF(Funds!$J$10="no",BJ87,BO87)=0,NA(),IF(Funds!$J$10="no",BJ87,BO87))</f>
        <v>-0.20038571723983006</v>
      </c>
      <c r="BF87" s="273">
        <f>IF(IF(Funds!$J$10="no",BK87,BP87)=0,NA(),IF(Funds!$J$10="no",BK87,BP87))</f>
        <v>-1.7607027648540476</v>
      </c>
      <c r="BG87" s="274">
        <f ca="1">Funds!$R$34</f>
        <v>2.5919346055080732</v>
      </c>
      <c r="BH87" s="274">
        <f ca="1">Funds!$R$36</f>
        <v>1.3378677483181089E-2</v>
      </c>
      <c r="BI87" s="274">
        <f ca="1">Funds!$R$38</f>
        <v>-0.15972963753204919</v>
      </c>
      <c r="BJ87" s="274">
        <f ca="1">Funds!$R$40</f>
        <v>-0.16887551350866659</v>
      </c>
      <c r="BK87" s="274">
        <f ca="1">Funds!$R$42</f>
        <v>-1.9222891726906419</v>
      </c>
      <c r="BL87" s="274">
        <f>INDEX(LINEST(AW28:AW87,'AC2'!$F28:$J87,1,1),1,1)</f>
        <v>3.0316919998655716</v>
      </c>
      <c r="BM87" s="274">
        <f>INDEX(LINEST(AX28:AX87,'AC2'!$F28:$J87,1,1),1,1)</f>
        <v>2.4663750343476055E-2</v>
      </c>
      <c r="BN87" s="274">
        <f>INDEX(LINEST(AY28:AY87,'AC2'!$F28:$J87,1,1),1,1)</f>
        <v>-3.934077228052469E-2</v>
      </c>
      <c r="BO87" s="274">
        <f>INDEX(LINEST(AZ28:AZ87,'AC2'!$F28:$J87,1,1),1,1)</f>
        <v>-0.20038571723983006</v>
      </c>
      <c r="BP87" s="274">
        <f>INDEX(LINEST(BA28:BA87,'AC2'!$F28:$J87,1,1),1,1)</f>
        <v>-1.7607027648540476</v>
      </c>
      <c r="BR87" s="154"/>
      <c r="BT87" s="154"/>
      <c r="BU87" s="154"/>
      <c r="BX87" s="154"/>
      <c r="BZ87" s="154"/>
      <c r="CA87" s="154"/>
      <c r="CB87" s="154"/>
      <c r="CE87" s="154"/>
      <c r="CG87" s="218"/>
      <c r="CH87" s="154" t="s">
        <v>106</v>
      </c>
      <c r="CI87" s="158">
        <v>8.0790600000000004E-2</v>
      </c>
      <c r="CJ87" s="153" t="str">
        <f t="shared" si="27"/>
        <v>Zimbabwe</v>
      </c>
      <c r="CK87" s="153" t="s">
        <v>31</v>
      </c>
      <c r="CL87" s="158">
        <v>-5.3548600000000002E-2</v>
      </c>
      <c r="CM87" s="153" t="str">
        <f t="shared" si="28"/>
        <v>United Arab Emirates</v>
      </c>
      <c r="CN87" s="154"/>
      <c r="CP87" s="154"/>
      <c r="CR87" s="154"/>
      <c r="CT87" s="154"/>
    </row>
    <row r="88" spans="6:98">
      <c r="F88" s="421">
        <v>42825</v>
      </c>
      <c r="G88" s="272">
        <f>BMG!F88</f>
        <v>-1.86325E-2</v>
      </c>
      <c r="H88" s="272" t="e">
        <f>IF('Carbon Risk Factor BMG'!$G$10="yes",AVERAGE(AC!$G52:$G87),NA())</f>
        <v>#N/A</v>
      </c>
      <c r="I88" s="272" t="e">
        <f>IF('Carbon Risk Factor BMG'!$G$11="yes",MIN(AC!$G52:$G87),NA())</f>
        <v>#N/A</v>
      </c>
      <c r="J88" s="272" t="e">
        <f>IF('Carbon Risk Factor BMG'!$G$12="yes",MAX(AC!$G52:$G87),NA())</f>
        <v>#N/A</v>
      </c>
      <c r="K88" s="272" t="e">
        <f>IF('Carbon Risk Factor BMG'!$G$13="yes",_xlfn.STDEV.S(AC!$G52:$G87),NA())</f>
        <v>#N/A</v>
      </c>
      <c r="L88" s="272" t="e">
        <f>IF('Carbon Risk Factor BMG'!$G$14="yes",_xlfn.PERCENTILE.INC(AC!$G52:$G87,'Carbon Risk Factor BMG'!$H$14),NA())</f>
        <v>#N/A</v>
      </c>
      <c r="M88" s="272" t="e">
        <f>IF('Carbon Risk Factor BMG'!$G$15="yes",_xlfn.PERCENTILE.INC(AC!$G52:$G87,'Carbon Risk Factor BMG'!$H$15),NA())</f>
        <v>#N/A</v>
      </c>
      <c r="N88" s="272">
        <f t="shared" si="26"/>
        <v>-0.19419779425325334</v>
      </c>
      <c r="P88" s="421">
        <v>42825</v>
      </c>
      <c r="Q88" s="154">
        <f>HLOOKUP(Q$1,'Asset Returns'!$F$1:$N$109,ROW(),0)</f>
        <v>4.7885663768970188E-2</v>
      </c>
      <c r="R88" s="154">
        <f>HLOOKUP(R$1,'Asset Returns'!$F$1:$N$109,ROW(),0)</f>
        <v>-2.9674252565818793E-2</v>
      </c>
      <c r="S88" s="154">
        <f>HLOOKUP(S$1,'Asset Returns'!$F$1:$N$109,ROW(),0)</f>
        <v>1.3724163588949789E-2</v>
      </c>
      <c r="T88" s="154">
        <f>HLOOKUP(T$1,'Asset Returns'!$F$1:$N$109,ROW(),0)</f>
        <v>-3.1585524788888319E-2</v>
      </c>
      <c r="U88" s="154">
        <f>HLOOKUP(U$1,'Asset Returns'!$F$1:$N$109,ROW(),0)</f>
        <v>9.9627954737172564E-2</v>
      </c>
      <c r="V88" s="273">
        <f>IF(IF(Equity!$J$10="no",AA88,AF88)=0,NA(),IF(Equity!$J$10="no",AA88,AF88))</f>
        <v>0.7073577096899597</v>
      </c>
      <c r="W88" s="273">
        <f>IF(IF(Equity!$J$10="no",AB88,AG88)=0,NA(),IF(Equity!$J$10="no",AB88,AG88))</f>
        <v>-1.2346801461150696</v>
      </c>
      <c r="X88" s="273">
        <f>IF(IF(Equity!$J$10="no",AC88,AH88)=0,NA(),IF(Equity!$J$10="no",AC88,AH88))</f>
        <v>0.80206102981940408</v>
      </c>
      <c r="Y88" s="273">
        <f>IF(IF(Equity!$J$10="no",AD88,AI88)=0,NA(),IF(Equity!$J$10="no",AD88,AI88))</f>
        <v>0.36854283756662504</v>
      </c>
      <c r="Z88" s="273">
        <f>IF(IF(Equity!$J$10="no",AE88,AJ88)=0,NA(),IF(Equity!$J$10="no",AE88,AJ88))</f>
        <v>-0.19425529529729577</v>
      </c>
      <c r="AA88" s="274">
        <f ca="1">Equity!$R$34</f>
        <v>0.64097224418739052</v>
      </c>
      <c r="AB88" s="274">
        <f ca="1">Equity!$R$36</f>
        <v>-0.78557102570241866</v>
      </c>
      <c r="AC88" s="274">
        <f ca="1">Equity!$R$38</f>
        <v>0.9378377404978776</v>
      </c>
      <c r="AD88" s="274">
        <f ca="1">Equity!$R$40</f>
        <v>0.17519882647973573</v>
      </c>
      <c r="AE88" s="274">
        <f ca="1">Equity!$R$42</f>
        <v>7.3760094442444454E-2</v>
      </c>
      <c r="AF88" s="274">
        <f>INDEX(LINEST(Q29:Q88,'AC2'!$F29:$J88,1,1),1,1)</f>
        <v>0.7073577096899597</v>
      </c>
      <c r="AG88" s="274">
        <f>INDEX(LINEST(R29:R88,'AC2'!$F29:$J88,1,1),1,1)</f>
        <v>-1.2346801461150696</v>
      </c>
      <c r="AH88" s="274">
        <f>INDEX(LINEST(S29:S88,'AC2'!$F29:$J88,1,1),1,1)</f>
        <v>0.80206102981940408</v>
      </c>
      <c r="AI88" s="274">
        <f>INDEX(LINEST(T29:T88,'AC2'!$F29:$J88,1,1),1,1)</f>
        <v>0.36854283756662504</v>
      </c>
      <c r="AJ88" s="274">
        <f>INDEX(LINEST(U29:U88,'AC2'!$F29:$J88,1,1),1,1)</f>
        <v>-0.19425529529729577</v>
      </c>
      <c r="AK88" s="154"/>
      <c r="AL88" s="421">
        <v>42825</v>
      </c>
      <c r="AM88" s="154">
        <f>HLOOKUP(AM$1,'Asset Returns'!$F$1:$ZS$109,ROW(),0)</f>
        <v>1.2017534690464293E-2</v>
      </c>
      <c r="AN88" s="154">
        <f>HLOOKUP(AN$1,'Asset Returns'!$F$1:$ZS$109,ROW(),0)</f>
        <v>-8.968432523640435E-3</v>
      </c>
      <c r="AO88" s="273">
        <f ca="1">IF(IF(Bonds!$J$10="no",AQ88,AS88)=0,NA(),IF(Bonds!$J$10="no",AQ88,AS88))</f>
        <v>-0.12498736259259137</v>
      </c>
      <c r="AP88" s="273">
        <f ca="1">IF(IF(Bonds!$J$10="no",AR88,AT88)=0,NA(),IF(Bonds!$J$10="no",AR88,AT88))</f>
        <v>0.19970923689173462</v>
      </c>
      <c r="AQ88" s="273">
        <f ca="1">Bonds!$P$32</f>
        <v>-0.12498736259259137</v>
      </c>
      <c r="AR88" s="273">
        <f ca="1">Bonds!$P$34</f>
        <v>0.19970923689173462</v>
      </c>
      <c r="AS88" s="274">
        <f>INDEX(LINEST(AM29:AM88,'AC2'!$F29:$J88,1,1),1,1)</f>
        <v>0.19507227321952289</v>
      </c>
      <c r="AT88" s="274">
        <f>INDEX(LINEST(AN29:AN88,'AC2'!$F29:$J88,1,1),1,1)</f>
        <v>0.38421854247384574</v>
      </c>
      <c r="AU88" s="154"/>
      <c r="AV88" s="421">
        <v>42825</v>
      </c>
      <c r="AW88" s="154">
        <f>HLOOKUP(AW$1,'Asset Returns'!$F$1:$ZS$109,ROW(),0)</f>
        <v>-4.9645400000000006E-2</v>
      </c>
      <c r="AX88" s="154">
        <f>HLOOKUP(AX$1,'Asset Returns'!$F$1:$ZS$109,ROW(),0)</f>
        <v>1.0771299999999999E-2</v>
      </c>
      <c r="AY88" s="154">
        <f>HLOOKUP(AY$1,'Asset Returns'!$F$1:$ZS$109,ROW(),0)</f>
        <v>3.5135079999999999E-2</v>
      </c>
      <c r="AZ88" s="154">
        <f>HLOOKUP(AZ$1,'Asset Returns'!$F$1:$ZS$109,ROW(),0)</f>
        <v>1.8843740000000001E-2</v>
      </c>
      <c r="BA88" s="154">
        <f>HLOOKUP(BA$1,'Asset Returns'!$F$1:$ZS$109,ROW(),0)</f>
        <v>1.46388E-2</v>
      </c>
      <c r="BB88" s="273">
        <f>IF(IF(Funds!$J$10="no",BG88,BL88)=0,NA(),IF(Funds!$J$10="no",BG88,BL88))</f>
        <v>3.160217332825876</v>
      </c>
      <c r="BC88" s="273">
        <f>IF(IF(Funds!$J$10="no",BH88,BM88)=0,NA(),IF(Funds!$J$10="no",BH88,BM88))</f>
        <v>2.8814794361122567E-2</v>
      </c>
      <c r="BD88" s="273">
        <f>IF(IF(Funds!$J$10="no",BI88,BN88)=0,NA(),IF(Funds!$J$10="no",BI88,BN88))</f>
        <v>-9.3709922121663208E-2</v>
      </c>
      <c r="BE88" s="273">
        <f>IF(IF(Funds!$J$10="no",BJ88,BO88)=0,NA(),IF(Funds!$J$10="no",BJ88,BO88))</f>
        <v>-0.17406336988730597</v>
      </c>
      <c r="BF88" s="273">
        <f>IF(IF(Funds!$J$10="no",BK88,BP88)=0,NA(),IF(Funds!$J$10="no",BK88,BP88))</f>
        <v>-1.7680393352025316</v>
      </c>
      <c r="BG88" s="274">
        <f ca="1">Funds!$R$34</f>
        <v>2.5919346055080732</v>
      </c>
      <c r="BH88" s="274">
        <f ca="1">Funds!$R$36</f>
        <v>1.3378677483181089E-2</v>
      </c>
      <c r="BI88" s="274">
        <f ca="1">Funds!$R$38</f>
        <v>-0.15972963753204919</v>
      </c>
      <c r="BJ88" s="274">
        <f ca="1">Funds!$R$40</f>
        <v>-0.16887551350866659</v>
      </c>
      <c r="BK88" s="274">
        <f ca="1">Funds!$R$42</f>
        <v>-1.9222891726906419</v>
      </c>
      <c r="BL88" s="274">
        <f>INDEX(LINEST(AW29:AW88,'AC2'!$F29:$J88,1,1),1,1)</f>
        <v>3.160217332825876</v>
      </c>
      <c r="BM88" s="274">
        <f>INDEX(LINEST(AX29:AX88,'AC2'!$F29:$J88,1,1),1,1)</f>
        <v>2.8814794361122567E-2</v>
      </c>
      <c r="BN88" s="274">
        <f>INDEX(LINEST(AY29:AY88,'AC2'!$F29:$J88,1,1),1,1)</f>
        <v>-9.3709922121663208E-2</v>
      </c>
      <c r="BO88" s="274">
        <f>INDEX(LINEST(AZ29:AZ88,'AC2'!$F29:$J88,1,1),1,1)</f>
        <v>-0.17406336988730597</v>
      </c>
      <c r="BP88" s="274">
        <f>INDEX(LINEST(BA29:BA88,'AC2'!$F29:$J88,1,1),1,1)</f>
        <v>-1.7680393352025316</v>
      </c>
      <c r="BR88" s="154"/>
      <c r="BT88" s="154"/>
      <c r="BU88" s="154"/>
      <c r="BX88" s="154"/>
      <c r="BZ88" s="154"/>
      <c r="CA88" s="154"/>
      <c r="CB88" s="154"/>
      <c r="CE88" s="154"/>
      <c r="CG88" s="218"/>
      <c r="CH88" s="154"/>
      <c r="CK88" s="153" t="s">
        <v>54</v>
      </c>
      <c r="CL88" s="158">
        <v>-0.17544999999999999</v>
      </c>
      <c r="CM88" s="153" t="str">
        <f t="shared" si="28"/>
        <v>United Kingdom</v>
      </c>
      <c r="CN88" s="154"/>
      <c r="CP88" s="154"/>
      <c r="CR88" s="154"/>
      <c r="CT88" s="154"/>
    </row>
    <row r="89" spans="6:98">
      <c r="F89" s="421">
        <v>42855</v>
      </c>
      <c r="G89" s="272">
        <f>BMG!F89</f>
        <v>-1.84542E-2</v>
      </c>
      <c r="H89" s="272" t="e">
        <f>IF('Carbon Risk Factor BMG'!$G$10="yes",AVERAGE(AC!$G53:$G88),NA())</f>
        <v>#N/A</v>
      </c>
      <c r="I89" s="272" t="e">
        <f>IF('Carbon Risk Factor BMG'!$G$11="yes",MIN(AC!$G53:$G88),NA())</f>
        <v>#N/A</v>
      </c>
      <c r="J89" s="272" t="e">
        <f>IF('Carbon Risk Factor BMG'!$G$12="yes",MAX(AC!$G53:$G88),NA())</f>
        <v>#N/A</v>
      </c>
      <c r="K89" s="272" t="e">
        <f>IF('Carbon Risk Factor BMG'!$G$13="yes",_xlfn.STDEV.S(AC!$G53:$G88),NA())</f>
        <v>#N/A</v>
      </c>
      <c r="L89" s="272" t="e">
        <f>IF('Carbon Risk Factor BMG'!$G$14="yes",_xlfn.PERCENTILE.INC(AC!$G53:$G88,'Carbon Risk Factor BMG'!$H$14),NA())</f>
        <v>#N/A</v>
      </c>
      <c r="M89" s="272" t="e">
        <f>IF('Carbon Risk Factor BMG'!$G$15="yes",_xlfn.PERCENTILE.INC(AC!$G53:$G88,'Carbon Risk Factor BMG'!$H$15),NA())</f>
        <v>#N/A</v>
      </c>
      <c r="N89" s="272">
        <f t="shared" si="26"/>
        <v>-0.20906822931854496</v>
      </c>
      <c r="P89" s="421">
        <v>42855</v>
      </c>
      <c r="Q89" s="154">
        <f>HLOOKUP(Q$1,'Asset Returns'!$F$1:$N$109,ROW(),0)</f>
        <v>-5.6242969628796935E-3</v>
      </c>
      <c r="R89" s="154">
        <f>HLOOKUP(R$1,'Asset Returns'!$F$1:$N$109,ROW(),0)</f>
        <v>-1.6095654173373664E-3</v>
      </c>
      <c r="S89" s="154">
        <f>HLOOKUP(S$1,'Asset Returns'!$F$1:$N$109,ROW(),0)</f>
        <v>5.9659411225965187E-4</v>
      </c>
      <c r="T89" s="154">
        <f>HLOOKUP(T$1,'Asset Returns'!$F$1:$N$109,ROW(),0)</f>
        <v>-7.9533513507534459E-2</v>
      </c>
      <c r="U89" s="154">
        <f>HLOOKUP(U$1,'Asset Returns'!$F$1:$N$109,ROW(),0)</f>
        <v>2.7741522313600164E-2</v>
      </c>
      <c r="V89" s="273">
        <f>IF(IF(Equity!$J$10="no",AA89,AF89)=0,NA(),IF(Equity!$J$10="no",AA89,AF89))</f>
        <v>0.52078940664240647</v>
      </c>
      <c r="W89" s="273">
        <f>IF(IF(Equity!$J$10="no",AB89,AG89)=0,NA(),IF(Equity!$J$10="no",AB89,AG89))</f>
        <v>-1.2103905344788493</v>
      </c>
      <c r="X89" s="273">
        <f>IF(IF(Equity!$J$10="no",AC89,AH89)=0,NA(),IF(Equity!$J$10="no",AC89,AH89))</f>
        <v>0.81222299740877923</v>
      </c>
      <c r="Y89" s="273">
        <f>IF(IF(Equity!$J$10="no",AD89,AI89)=0,NA(),IF(Equity!$J$10="no",AD89,AI89))</f>
        <v>0.40867733707580145</v>
      </c>
      <c r="Z89" s="273">
        <f>IF(IF(Equity!$J$10="no",AE89,AJ89)=0,NA(),IF(Equity!$J$10="no",AE89,AJ89))</f>
        <v>-0.10651415473282123</v>
      </c>
      <c r="AA89" s="274">
        <f ca="1">Equity!$R$34</f>
        <v>0.64097224418739052</v>
      </c>
      <c r="AB89" s="274">
        <f ca="1">Equity!$R$36</f>
        <v>-0.78557102570241866</v>
      </c>
      <c r="AC89" s="274">
        <f ca="1">Equity!$R$38</f>
        <v>0.9378377404978776</v>
      </c>
      <c r="AD89" s="274">
        <f ca="1">Equity!$R$40</f>
        <v>0.17519882647973573</v>
      </c>
      <c r="AE89" s="274">
        <f ca="1">Equity!$R$42</f>
        <v>7.3760094442444454E-2</v>
      </c>
      <c r="AF89" s="274">
        <f>INDEX(LINEST(Q30:Q89,'AC2'!$F30:$J89,1,1),1,1)</f>
        <v>0.52078940664240647</v>
      </c>
      <c r="AG89" s="274">
        <f>INDEX(LINEST(R30:R89,'AC2'!$F30:$J89,1,1),1,1)</f>
        <v>-1.2103905344788493</v>
      </c>
      <c r="AH89" s="274">
        <f>INDEX(LINEST(S30:S89,'AC2'!$F30:$J89,1,1),1,1)</f>
        <v>0.81222299740877923</v>
      </c>
      <c r="AI89" s="274">
        <f>INDEX(LINEST(T30:T89,'AC2'!$F30:$J89,1,1),1,1)</f>
        <v>0.40867733707580145</v>
      </c>
      <c r="AJ89" s="274">
        <f>INDEX(LINEST(U30:U89,'AC2'!$F30:$J89,1,1),1,1)</f>
        <v>-0.10651415473282123</v>
      </c>
      <c r="AK89" s="154"/>
      <c r="AL89" s="421">
        <v>42855</v>
      </c>
      <c r="AM89" s="154">
        <f>HLOOKUP(AM$1,'Asset Returns'!$F$1:$ZS$109,ROW(),0)</f>
        <v>8.0919258267031502E-3</v>
      </c>
      <c r="AN89" s="154">
        <f>HLOOKUP(AN$1,'Asset Returns'!$F$1:$ZS$109,ROW(),0)</f>
        <v>1.5877801671581038E-2</v>
      </c>
      <c r="AO89" s="273">
        <f ca="1">IF(IF(Bonds!$J$10="no",AQ89,AS89)=0,NA(),IF(Bonds!$J$10="no",AQ89,AS89))</f>
        <v>-0.12498736259259137</v>
      </c>
      <c r="AP89" s="273">
        <f ca="1">IF(IF(Bonds!$J$10="no",AR89,AT89)=0,NA(),IF(Bonds!$J$10="no",AR89,AT89))</f>
        <v>0.19970923689173462</v>
      </c>
      <c r="AQ89" s="273">
        <f ca="1">Bonds!$P$32</f>
        <v>-0.12498736259259137</v>
      </c>
      <c r="AR89" s="273">
        <f ca="1">Bonds!$P$34</f>
        <v>0.19970923689173462</v>
      </c>
      <c r="AS89" s="274">
        <f>INDEX(LINEST(AM30:AM89,'AC2'!$F30:$J89,1,1),1,1)</f>
        <v>0.19440389805032243</v>
      </c>
      <c r="AT89" s="274">
        <f>INDEX(LINEST(AN30:AN89,'AC2'!$F30:$J89,1,1),1,1)</f>
        <v>0.38824438155291929</v>
      </c>
      <c r="AU89" s="154"/>
      <c r="AV89" s="421">
        <v>42855</v>
      </c>
      <c r="AW89" s="154">
        <f>HLOOKUP(AW$1,'Asset Returns'!$F$1:$ZS$109,ROW(),0)</f>
        <v>-7.0149299999999998E-2</v>
      </c>
      <c r="AX89" s="154">
        <f>HLOOKUP(AX$1,'Asset Returns'!$F$1:$ZS$109,ROW(),0)</f>
        <v>1.4795000000000001E-2</v>
      </c>
      <c r="AY89" s="154">
        <f>HLOOKUP(AY$1,'Asset Returns'!$F$1:$ZS$109,ROW(),0)</f>
        <v>4.0044980000000001E-2</v>
      </c>
      <c r="AZ89" s="154">
        <f>HLOOKUP(AZ$1,'Asset Returns'!$F$1:$ZS$109,ROW(),0)</f>
        <v>2.651015E-2</v>
      </c>
      <c r="BA89" s="154">
        <f>HLOOKUP(BA$1,'Asset Returns'!$F$1:$ZS$109,ROW(),0)</f>
        <v>6.6225199999999998E-2</v>
      </c>
      <c r="BB89" s="273">
        <f>IF(IF(Funds!$J$10="no",BG89,BL89)=0,NA(),IF(Funds!$J$10="no",BG89,BL89))</f>
        <v>3.4044445513741484</v>
      </c>
      <c r="BC89" s="273">
        <f>IF(IF(Funds!$J$10="no",BH89,BM89)=0,NA(),IF(Funds!$J$10="no",BH89,BM89))</f>
        <v>3.4064005412481446E-2</v>
      </c>
      <c r="BD89" s="273">
        <f>IF(IF(Funds!$J$10="no",BI89,BN89)=0,NA(),IF(Funds!$J$10="no",BI89,BN89))</f>
        <v>-0.11622201123716708</v>
      </c>
      <c r="BE89" s="273">
        <f>IF(IF(Funds!$J$10="no",BJ89,BO89)=0,NA(),IF(Funds!$J$10="no",BJ89,BO89))</f>
        <v>-0.1678468623003537</v>
      </c>
      <c r="BF89" s="273">
        <f>IF(IF(Funds!$J$10="no",BK89,BP89)=0,NA(),IF(Funds!$J$10="no",BK89,BP89))</f>
        <v>-1.7803652029315673</v>
      </c>
      <c r="BG89" s="274">
        <f ca="1">Funds!$R$34</f>
        <v>2.5919346055080732</v>
      </c>
      <c r="BH89" s="274">
        <f ca="1">Funds!$R$36</f>
        <v>1.3378677483181089E-2</v>
      </c>
      <c r="BI89" s="274">
        <f ca="1">Funds!$R$38</f>
        <v>-0.15972963753204919</v>
      </c>
      <c r="BJ89" s="274">
        <f ca="1">Funds!$R$40</f>
        <v>-0.16887551350866659</v>
      </c>
      <c r="BK89" s="274">
        <f ca="1">Funds!$R$42</f>
        <v>-1.9222891726906419</v>
      </c>
      <c r="BL89" s="274">
        <f>INDEX(LINEST(AW30:AW89,'AC2'!$F30:$J89,1,1),1,1)</f>
        <v>3.4044445513741484</v>
      </c>
      <c r="BM89" s="274">
        <f>INDEX(LINEST(AX30:AX89,'AC2'!$F30:$J89,1,1),1,1)</f>
        <v>3.4064005412481446E-2</v>
      </c>
      <c r="BN89" s="274">
        <f>INDEX(LINEST(AY30:AY89,'AC2'!$F30:$J89,1,1),1,1)</f>
        <v>-0.11622201123716708</v>
      </c>
      <c r="BO89" s="274">
        <f>INDEX(LINEST(AZ30:AZ89,'AC2'!$F30:$J89,1,1),1,1)</f>
        <v>-0.1678468623003537</v>
      </c>
      <c r="BP89" s="274">
        <f>INDEX(LINEST(BA30:BA89,'AC2'!$F30:$J89,1,1),1,1)</f>
        <v>-1.7803652029315673</v>
      </c>
      <c r="BR89" s="154"/>
      <c r="BT89" s="154"/>
      <c r="BU89" s="154"/>
      <c r="BX89" s="154"/>
      <c r="BZ89" s="154"/>
      <c r="CA89" s="154"/>
      <c r="CB89" s="154"/>
      <c r="CE89" s="154"/>
      <c r="CG89" s="218"/>
      <c r="CH89" s="154"/>
      <c r="CK89" s="154" t="s">
        <v>103</v>
      </c>
      <c r="CL89" s="158">
        <v>0.20373260000000001</v>
      </c>
      <c r="CM89" s="153" t="str">
        <f t="shared" si="28"/>
        <v>United States of America</v>
      </c>
      <c r="CN89" s="154"/>
      <c r="CP89" s="154"/>
      <c r="CR89" s="154"/>
      <c r="CT89" s="154"/>
    </row>
    <row r="90" spans="6:98">
      <c r="F90" s="421">
        <v>42886</v>
      </c>
      <c r="G90" s="272">
        <f>BMG!F90</f>
        <v>-1.7465399999999999E-2</v>
      </c>
      <c r="H90" s="272" t="e">
        <f>IF('Carbon Risk Factor BMG'!$G$10="yes",AVERAGE(AC!$G54:$G89),NA())</f>
        <v>#N/A</v>
      </c>
      <c r="I90" s="272" t="e">
        <f>IF('Carbon Risk Factor BMG'!$G$11="yes",MIN(AC!$G54:$G89),NA())</f>
        <v>#N/A</v>
      </c>
      <c r="J90" s="272" t="e">
        <f>IF('Carbon Risk Factor BMG'!$G$12="yes",MAX(AC!$G54:$G89),NA())</f>
        <v>#N/A</v>
      </c>
      <c r="K90" s="272" t="e">
        <f>IF('Carbon Risk Factor BMG'!$G$13="yes",_xlfn.STDEV.S(AC!$G54:$G89),NA())</f>
        <v>#N/A</v>
      </c>
      <c r="L90" s="272" t="e">
        <f>IF('Carbon Risk Factor BMG'!$G$14="yes",_xlfn.PERCENTILE.INC(AC!$G54:$G89,'Carbon Risk Factor BMG'!$H$14),NA())</f>
        <v>#N/A</v>
      </c>
      <c r="M90" s="272" t="e">
        <f>IF('Carbon Risk Factor BMG'!$G$15="yes",_xlfn.PERCENTILE.INC(AC!$G54:$G89,'Carbon Risk Factor BMG'!$H$15),NA())</f>
        <v>#N/A</v>
      </c>
      <c r="N90" s="272">
        <f t="shared" si="26"/>
        <v>-0.22288216906620484</v>
      </c>
      <c r="P90" s="421">
        <v>42886</v>
      </c>
      <c r="Q90" s="154">
        <f>HLOOKUP(Q$1,'Asset Returns'!$F$1:$N$109,ROW(),0)</f>
        <v>3.4502262443438791E-2</v>
      </c>
      <c r="R90" s="154">
        <f>HLOOKUP(R$1,'Asset Returns'!$F$1:$N$109,ROW(),0)</f>
        <v>-9.2123445416858463E-3</v>
      </c>
      <c r="S90" s="154">
        <f>HLOOKUP(S$1,'Asset Returns'!$F$1:$N$109,ROW(),0)</f>
        <v>7.0309344139078078E-2</v>
      </c>
      <c r="T90" s="154">
        <f>HLOOKUP(T$1,'Asset Returns'!$F$1:$N$109,ROW(),0)</f>
        <v>-3.8458149073896108E-2</v>
      </c>
      <c r="U90" s="154">
        <f>HLOOKUP(U$1,'Asset Returns'!$F$1:$N$109,ROW(),0)</f>
        <v>6.0714851393121272E-2</v>
      </c>
      <c r="V90" s="273">
        <f>IF(IF(Equity!$J$10="no",AA90,AF90)=0,NA(),IF(Equity!$J$10="no",AA90,AF90))</f>
        <v>0.5499056574580361</v>
      </c>
      <c r="W90" s="273">
        <f>IF(IF(Equity!$J$10="no",AB90,AG90)=0,NA(),IF(Equity!$J$10="no",AB90,AG90))</f>
        <v>-1.2073798316264108</v>
      </c>
      <c r="X90" s="273">
        <f>IF(IF(Equity!$J$10="no",AC90,AH90)=0,NA(),IF(Equity!$J$10="no",AC90,AH90))</f>
        <v>0.83591609489674046</v>
      </c>
      <c r="Y90" s="273">
        <f>IF(IF(Equity!$J$10="no",AD90,AI90)=0,NA(),IF(Equity!$J$10="no",AD90,AI90))</f>
        <v>0.39744730588008209</v>
      </c>
      <c r="Z90" s="273">
        <f>IF(IF(Equity!$J$10="no",AE90,AJ90)=0,NA(),IF(Equity!$J$10="no",AE90,AJ90))</f>
        <v>-0.10630895323114113</v>
      </c>
      <c r="AA90" s="274">
        <f ca="1">Equity!$R$34</f>
        <v>0.64097224418739052</v>
      </c>
      <c r="AB90" s="274">
        <f ca="1">Equity!$R$36</f>
        <v>-0.78557102570241866</v>
      </c>
      <c r="AC90" s="274">
        <f ca="1">Equity!$R$38</f>
        <v>0.9378377404978776</v>
      </c>
      <c r="AD90" s="274">
        <f ca="1">Equity!$R$40</f>
        <v>0.17519882647973573</v>
      </c>
      <c r="AE90" s="274">
        <f ca="1">Equity!$R$42</f>
        <v>7.3760094442444454E-2</v>
      </c>
      <c r="AF90" s="274">
        <f>INDEX(LINEST(Q31:Q90,'AC2'!$F31:$J90,1,1),1,1)</f>
        <v>0.5499056574580361</v>
      </c>
      <c r="AG90" s="274">
        <f>INDEX(LINEST(R31:R90,'AC2'!$F31:$J90,1,1),1,1)</f>
        <v>-1.2073798316264108</v>
      </c>
      <c r="AH90" s="274">
        <f>INDEX(LINEST(S31:S90,'AC2'!$F31:$J90,1,1),1,1)</f>
        <v>0.83591609489674046</v>
      </c>
      <c r="AI90" s="274">
        <f>INDEX(LINEST(T31:T90,'AC2'!$F31:$J90,1,1),1,1)</f>
        <v>0.39744730588008209</v>
      </c>
      <c r="AJ90" s="274">
        <f>INDEX(LINEST(U31:U90,'AC2'!$F31:$J90,1,1),1,1)</f>
        <v>-0.10630895323114113</v>
      </c>
      <c r="AK90" s="154"/>
      <c r="AL90" s="421">
        <v>42886</v>
      </c>
      <c r="AM90" s="154">
        <f>HLOOKUP(AM$1,'Asset Returns'!$F$1:$ZS$109,ROW(),0)</f>
        <v>1.4312152201894079E-2</v>
      </c>
      <c r="AN90" s="154">
        <f>HLOOKUP(AN$1,'Asset Returns'!$F$1:$ZS$109,ROW(),0)</f>
        <v>5.1061471045234619E-2</v>
      </c>
      <c r="AO90" s="273">
        <f ca="1">IF(IF(Bonds!$J$10="no",AQ90,AS90)=0,NA(),IF(Bonds!$J$10="no",AQ90,AS90))</f>
        <v>-0.12498736259259137</v>
      </c>
      <c r="AP90" s="273">
        <f ca="1">IF(IF(Bonds!$J$10="no",AR90,AT90)=0,NA(),IF(Bonds!$J$10="no",AR90,AT90))</f>
        <v>0.19970923689173462</v>
      </c>
      <c r="AQ90" s="273">
        <f ca="1">Bonds!$P$32</f>
        <v>-0.12498736259259137</v>
      </c>
      <c r="AR90" s="273">
        <f ca="1">Bonds!$P$34</f>
        <v>0.19970923689173462</v>
      </c>
      <c r="AS90" s="274">
        <f>INDEX(LINEST(AM31:AM90,'AC2'!$F31:$J90,1,1),1,1)</f>
        <v>0.18801467774459715</v>
      </c>
      <c r="AT90" s="274">
        <f>INDEX(LINEST(AN31:AN90,'AC2'!$F31:$J90,1,1),1,1)</f>
        <v>0.37602960218551806</v>
      </c>
      <c r="AU90" s="154"/>
      <c r="AV90" s="421">
        <v>42886</v>
      </c>
      <c r="AW90" s="154">
        <f>HLOOKUP(AW$1,'Asset Returns'!$F$1:$ZS$109,ROW(),0)</f>
        <v>-2.24719E-2</v>
      </c>
      <c r="AX90" s="154">
        <f>HLOOKUP(AX$1,'Asset Returns'!$F$1:$ZS$109,ROW(),0)</f>
        <v>2.1491799999999998E-2</v>
      </c>
      <c r="AY90" s="154">
        <f>HLOOKUP(AY$1,'Asset Returns'!$F$1:$ZS$109,ROW(),0)</f>
        <v>5.5761820000000004E-2</v>
      </c>
      <c r="AZ90" s="154">
        <f>HLOOKUP(AZ$1,'Asset Returns'!$F$1:$ZS$109,ROW(),0)</f>
        <v>3.007058E-2</v>
      </c>
      <c r="BA90" s="154">
        <f>HLOOKUP(BA$1,'Asset Returns'!$F$1:$ZS$109,ROW(),0)</f>
        <v>7.3646900000000001E-2</v>
      </c>
      <c r="BB90" s="273">
        <f>IF(IF(Funds!$J$10="no",BG90,BL90)=0,NA(),IF(Funds!$J$10="no",BG90,BL90))</f>
        <v>3.4126508459325131</v>
      </c>
      <c r="BC90" s="273">
        <f>IF(IF(Funds!$J$10="no",BH90,BM90)=0,NA(),IF(Funds!$J$10="no",BH90,BM90))</f>
        <v>3.3452839740780116E-2</v>
      </c>
      <c r="BD90" s="273">
        <f>IF(IF(Funds!$J$10="no",BI90,BN90)=0,NA(),IF(Funds!$J$10="no",BI90,BN90))</f>
        <v>-0.11158091110620301</v>
      </c>
      <c r="BE90" s="273">
        <f>IF(IF(Funds!$J$10="no",BJ90,BO90)=0,NA(),IF(Funds!$J$10="no",BJ90,BO90))</f>
        <v>-0.1681522185797257</v>
      </c>
      <c r="BF90" s="273">
        <f>IF(IF(Funds!$J$10="no",BK90,BP90)=0,NA(),IF(Funds!$J$10="no",BK90,BP90))</f>
        <v>-1.7936307499515345</v>
      </c>
      <c r="BG90" s="274">
        <f ca="1">Funds!$R$34</f>
        <v>2.5919346055080732</v>
      </c>
      <c r="BH90" s="274">
        <f ca="1">Funds!$R$36</f>
        <v>1.3378677483181089E-2</v>
      </c>
      <c r="BI90" s="274">
        <f ca="1">Funds!$R$38</f>
        <v>-0.15972963753204919</v>
      </c>
      <c r="BJ90" s="274">
        <f ca="1">Funds!$R$40</f>
        <v>-0.16887551350866659</v>
      </c>
      <c r="BK90" s="274">
        <f ca="1">Funds!$R$42</f>
        <v>-1.9222891726906419</v>
      </c>
      <c r="BL90" s="274">
        <f>INDEX(LINEST(AW31:AW90,'AC2'!$F31:$J90,1,1),1,1)</f>
        <v>3.4126508459325131</v>
      </c>
      <c r="BM90" s="274">
        <f>INDEX(LINEST(AX31:AX90,'AC2'!$F31:$J90,1,1),1,1)</f>
        <v>3.3452839740780116E-2</v>
      </c>
      <c r="BN90" s="274">
        <f>INDEX(LINEST(AY31:AY90,'AC2'!$F31:$J90,1,1),1,1)</f>
        <v>-0.11158091110620301</v>
      </c>
      <c r="BO90" s="274">
        <f>INDEX(LINEST(AZ31:AZ90,'AC2'!$F31:$J90,1,1),1,1)</f>
        <v>-0.1681522185797257</v>
      </c>
      <c r="BP90" s="274">
        <f>INDEX(LINEST(BA31:BA90,'AC2'!$F31:$J90,1,1),1,1)</f>
        <v>-1.7936307499515345</v>
      </c>
      <c r="BR90" s="154"/>
      <c r="BT90" s="154"/>
      <c r="BU90" s="154"/>
      <c r="BX90" s="154"/>
      <c r="BZ90" s="154"/>
      <c r="CA90" s="154"/>
      <c r="CB90" s="154"/>
      <c r="CE90" s="154"/>
      <c r="CG90" s="218"/>
      <c r="CH90" s="154"/>
      <c r="CK90" s="154" t="s">
        <v>104</v>
      </c>
      <c r="CL90" s="158">
        <v>-0.1703597</v>
      </c>
      <c r="CM90" s="153" t="str">
        <f t="shared" si="28"/>
        <v>Vietnam</v>
      </c>
      <c r="CN90" s="154"/>
      <c r="CP90" s="154"/>
      <c r="CR90" s="154"/>
      <c r="CT90" s="154"/>
    </row>
    <row r="91" spans="6:98">
      <c r="F91" s="421">
        <v>42916</v>
      </c>
      <c r="G91" s="272">
        <f>BMG!F91</f>
        <v>1.06684E-2</v>
      </c>
      <c r="H91" s="272" t="e">
        <f>IF('Carbon Risk Factor BMG'!$G$10="yes",AVERAGE(AC!$G55:$G90),NA())</f>
        <v>#N/A</v>
      </c>
      <c r="I91" s="272" t="e">
        <f>IF('Carbon Risk Factor BMG'!$G$11="yes",MIN(AC!$G55:$G90),NA())</f>
        <v>#N/A</v>
      </c>
      <c r="J91" s="272" t="e">
        <f>IF('Carbon Risk Factor BMG'!$G$12="yes",MAX(AC!$G55:$G90),NA())</f>
        <v>#N/A</v>
      </c>
      <c r="K91" s="272" t="e">
        <f>IF('Carbon Risk Factor BMG'!$G$13="yes",_xlfn.STDEV.S(AC!$G55:$G90),NA())</f>
        <v>#N/A</v>
      </c>
      <c r="L91" s="272" t="e">
        <f>IF('Carbon Risk Factor BMG'!$G$14="yes",_xlfn.PERCENTILE.INC(AC!$G55:$G90,'Carbon Risk Factor BMG'!$H$14),NA())</f>
        <v>#N/A</v>
      </c>
      <c r="M91" s="272" t="e">
        <f>IF('Carbon Risk Factor BMG'!$G$15="yes",_xlfn.PERCENTILE.INC(AC!$G55:$G90,'Carbon Risk Factor BMG'!$H$15),NA())</f>
        <v>#N/A</v>
      </c>
      <c r="N91" s="272">
        <f t="shared" si="26"/>
        <v>-0.21459156519867084</v>
      </c>
      <c r="P91" s="421">
        <v>42916</v>
      </c>
      <c r="Q91" s="154">
        <f>HLOOKUP(Q$1,'Asset Returns'!$F$1:$N$109,ROW(),0)</f>
        <v>-9.322033898305071E-2</v>
      </c>
      <c r="R91" s="154">
        <f>HLOOKUP(R$1,'Asset Returns'!$F$1:$N$109,ROW(),0)</f>
        <v>-2.2315202231520281E-2</v>
      </c>
      <c r="S91" s="154">
        <f>HLOOKUP(S$1,'Asset Returns'!$F$1:$N$109,ROW(),0)</f>
        <v>-4.533135263610133E-2</v>
      </c>
      <c r="T91" s="154">
        <f>HLOOKUP(T$1,'Asset Returns'!$F$1:$N$109,ROW(),0)</f>
        <v>7.8651264127442833E-3</v>
      </c>
      <c r="U91" s="154">
        <f>HLOOKUP(U$1,'Asset Returns'!$F$1:$N$109,ROW(),0)</f>
        <v>-2.9605474196138237E-3</v>
      </c>
      <c r="V91" s="273">
        <f>IF(IF(Equity!$J$10="no",AA91,AF91)=0,NA(),IF(Equity!$J$10="no",AA91,AF91))</f>
        <v>0.52745764137583884</v>
      </c>
      <c r="W91" s="273">
        <f>IF(IF(Equity!$J$10="no",AB91,AG91)=0,NA(),IF(Equity!$J$10="no",AB91,AG91))</f>
        <v>-1.2138286076630558</v>
      </c>
      <c r="X91" s="273">
        <f>IF(IF(Equity!$J$10="no",AC91,AH91)=0,NA(),IF(Equity!$J$10="no",AC91,AH91))</f>
        <v>0.82840982063373492</v>
      </c>
      <c r="Y91" s="273">
        <f>IF(IF(Equity!$J$10="no",AD91,AI91)=0,NA(),IF(Equity!$J$10="no",AD91,AI91))</f>
        <v>0.39574788778285874</v>
      </c>
      <c r="Z91" s="273">
        <f>IF(IF(Equity!$J$10="no",AE91,AJ91)=0,NA(),IF(Equity!$J$10="no",AE91,AJ91))</f>
        <v>-0.1125030296767674</v>
      </c>
      <c r="AA91" s="274">
        <f ca="1">Equity!$R$34</f>
        <v>0.64097224418739052</v>
      </c>
      <c r="AB91" s="274">
        <f ca="1">Equity!$R$36</f>
        <v>-0.78557102570241866</v>
      </c>
      <c r="AC91" s="274">
        <f ca="1">Equity!$R$38</f>
        <v>0.9378377404978776</v>
      </c>
      <c r="AD91" s="274">
        <f ca="1">Equity!$R$40</f>
        <v>0.17519882647973573</v>
      </c>
      <c r="AE91" s="274">
        <f ca="1">Equity!$R$42</f>
        <v>7.3760094442444454E-2</v>
      </c>
      <c r="AF91" s="274">
        <f>INDEX(LINEST(Q32:Q91,'AC2'!$F32:$J91,1,1),1,1)</f>
        <v>0.52745764137583884</v>
      </c>
      <c r="AG91" s="274">
        <f>INDEX(LINEST(R32:R91,'AC2'!$F32:$J91,1,1),1,1)</f>
        <v>-1.2138286076630558</v>
      </c>
      <c r="AH91" s="274">
        <f>INDEX(LINEST(S32:S91,'AC2'!$F32:$J91,1,1),1,1)</f>
        <v>0.82840982063373492</v>
      </c>
      <c r="AI91" s="274">
        <f>INDEX(LINEST(T32:T91,'AC2'!$F32:$J91,1,1),1,1)</f>
        <v>0.39574788778285874</v>
      </c>
      <c r="AJ91" s="274">
        <f>INDEX(LINEST(U32:U91,'AC2'!$F32:$J91,1,1),1,1)</f>
        <v>-0.1125030296767674</v>
      </c>
      <c r="AK91" s="154"/>
      <c r="AL91" s="421">
        <v>42916</v>
      </c>
      <c r="AM91" s="154">
        <f>HLOOKUP(AM$1,'Asset Returns'!$F$1:$ZS$109,ROW(),0)</f>
        <v>1.8939872218995513E-2</v>
      </c>
      <c r="AN91" s="154">
        <f>HLOOKUP(AN$1,'Asset Returns'!$F$1:$ZS$109,ROW(),0)</f>
        <v>4.9706206008761633E-3</v>
      </c>
      <c r="AO91" s="273">
        <f ca="1">IF(IF(Bonds!$J$10="no",AQ91,AS91)=0,NA(),IF(Bonds!$J$10="no",AQ91,AS91))</f>
        <v>-0.12498736259259137</v>
      </c>
      <c r="AP91" s="273">
        <f ca="1">IF(IF(Bonds!$J$10="no",AR91,AT91)=0,NA(),IF(Bonds!$J$10="no",AR91,AT91))</f>
        <v>0.19970923689173462</v>
      </c>
      <c r="AQ91" s="273">
        <f ca="1">Bonds!$P$32</f>
        <v>-0.12498736259259137</v>
      </c>
      <c r="AR91" s="273">
        <f ca="1">Bonds!$P$34</f>
        <v>0.19970923689173462</v>
      </c>
      <c r="AS91" s="274">
        <f>INDEX(LINEST(AM32:AM91,'AC2'!$F32:$J91,1,1),1,1)</f>
        <v>0.19050960050233548</v>
      </c>
      <c r="AT91" s="274">
        <f>INDEX(LINEST(AN32:AN91,'AC2'!$F32:$J91,1,1),1,1)</f>
        <v>0.37670512381272914</v>
      </c>
      <c r="AU91" s="154"/>
      <c r="AV91" s="421">
        <v>42916</v>
      </c>
      <c r="AW91" s="154">
        <f>HLOOKUP(AW$1,'Asset Returns'!$F$1:$ZS$109,ROW(),0)</f>
        <v>2.46305E-2</v>
      </c>
      <c r="AX91" s="154">
        <f>HLOOKUP(AX$1,'Asset Returns'!$F$1:$ZS$109,ROW(),0)</f>
        <v>3.8034000000000002E-3</v>
      </c>
      <c r="AY91" s="154">
        <f>HLOOKUP(AY$1,'Asset Returns'!$F$1:$ZS$109,ROW(),0)</f>
        <v>-1.255445E-2</v>
      </c>
      <c r="AZ91" s="154">
        <f>HLOOKUP(AZ$1,'Asset Returns'!$F$1:$ZS$109,ROW(),0)</f>
        <v>-1.1295949999999999E-2</v>
      </c>
      <c r="BA91" s="154">
        <f>HLOOKUP(BA$1,'Asset Returns'!$F$1:$ZS$109,ROW(),0)</f>
        <v>1.8595E-3</v>
      </c>
      <c r="BB91" s="273">
        <f>IF(IF(Funds!$J$10="no",BG91,BL91)=0,NA(),IF(Funds!$J$10="no",BG91,BL91))</f>
        <v>3.4104308138167281</v>
      </c>
      <c r="BC91" s="273">
        <f>IF(IF(Funds!$J$10="no",BH91,BM91)=0,NA(),IF(Funds!$J$10="no",BH91,BM91))</f>
        <v>3.3849537577241864E-2</v>
      </c>
      <c r="BD91" s="273">
        <f>IF(IF(Funds!$J$10="no",BI91,BN91)=0,NA(),IF(Funds!$J$10="no",BI91,BN91))</f>
        <v>-0.11575962527119568</v>
      </c>
      <c r="BE91" s="273">
        <f>IF(IF(Funds!$J$10="no",BJ91,BO91)=0,NA(),IF(Funds!$J$10="no",BJ91,BO91))</f>
        <v>-0.17081310070389924</v>
      </c>
      <c r="BF91" s="273">
        <f>IF(IF(Funds!$J$10="no",BK91,BP91)=0,NA(),IF(Funds!$J$10="no",BK91,BP91))</f>
        <v>-1.7864797944225328</v>
      </c>
      <c r="BG91" s="274">
        <f ca="1">Funds!$R$34</f>
        <v>2.5919346055080732</v>
      </c>
      <c r="BH91" s="274">
        <f ca="1">Funds!$R$36</f>
        <v>1.3378677483181089E-2</v>
      </c>
      <c r="BI91" s="274">
        <f ca="1">Funds!$R$38</f>
        <v>-0.15972963753204919</v>
      </c>
      <c r="BJ91" s="274">
        <f ca="1">Funds!$R$40</f>
        <v>-0.16887551350866659</v>
      </c>
      <c r="BK91" s="274">
        <f ca="1">Funds!$R$42</f>
        <v>-1.9222891726906419</v>
      </c>
      <c r="BL91" s="274">
        <f>INDEX(LINEST(AW32:AW91,'AC2'!$F32:$J91,1,1),1,1)</f>
        <v>3.4104308138167281</v>
      </c>
      <c r="BM91" s="274">
        <f>INDEX(LINEST(AX32:AX91,'AC2'!$F32:$J91,1,1),1,1)</f>
        <v>3.3849537577241864E-2</v>
      </c>
      <c r="BN91" s="274">
        <f>INDEX(LINEST(AY32:AY91,'AC2'!$F32:$J91,1,1),1,1)</f>
        <v>-0.11575962527119568</v>
      </c>
      <c r="BO91" s="274">
        <f>INDEX(LINEST(AZ32:AZ91,'AC2'!$F32:$J91,1,1),1,1)</f>
        <v>-0.17081310070389924</v>
      </c>
      <c r="BP91" s="274">
        <f>INDEX(LINEST(BA32:BA91,'AC2'!$F32:$J91,1,1),1,1)</f>
        <v>-1.7864797944225328</v>
      </c>
      <c r="BR91" s="154"/>
      <c r="BT91" s="154"/>
      <c r="BU91" s="154"/>
      <c r="BX91" s="154"/>
      <c r="BZ91" s="154"/>
      <c r="CA91" s="154"/>
      <c r="CB91" s="154"/>
      <c r="CE91" s="154"/>
      <c r="CG91" s="218"/>
      <c r="CH91" s="154"/>
      <c r="CK91" s="153" t="s">
        <v>106</v>
      </c>
      <c r="CL91" s="158">
        <v>0.21311550000000001</v>
      </c>
      <c r="CM91" s="153" t="str">
        <f t="shared" si="28"/>
        <v>Zimbabwe</v>
      </c>
      <c r="CN91" s="154"/>
      <c r="CP91" s="154"/>
      <c r="CR91" s="154"/>
      <c r="CT91" s="154"/>
    </row>
    <row r="92" spans="6:98">
      <c r="F92" s="421">
        <v>42947</v>
      </c>
      <c r="G92" s="272">
        <f>BMG!F92</f>
        <v>4.5535999999999997E-3</v>
      </c>
      <c r="H92" s="272" t="e">
        <f>IF('Carbon Risk Factor BMG'!$G$10="yes",AVERAGE(AC!$G56:$G91),NA())</f>
        <v>#N/A</v>
      </c>
      <c r="I92" s="272" t="e">
        <f>IF('Carbon Risk Factor BMG'!$G$11="yes",MIN(AC!$G56:$G91),NA())</f>
        <v>#N/A</v>
      </c>
      <c r="J92" s="272" t="e">
        <f>IF('Carbon Risk Factor BMG'!$G$12="yes",MAX(AC!$G56:$G91),NA())</f>
        <v>#N/A</v>
      </c>
      <c r="K92" s="272" t="e">
        <f>IF('Carbon Risk Factor BMG'!$G$13="yes",_xlfn.STDEV.S(AC!$G56:$G91),NA())</f>
        <v>#N/A</v>
      </c>
      <c r="L92" s="272" t="e">
        <f>IF('Carbon Risk Factor BMG'!$G$14="yes",_xlfn.PERCENTILE.INC(AC!$G56:$G91,'Carbon Risk Factor BMG'!$H$14),NA())</f>
        <v>#N/A</v>
      </c>
      <c r="M92" s="272" t="e">
        <f>IF('Carbon Risk Factor BMG'!$G$15="yes",_xlfn.PERCENTILE.INC(AC!$G56:$G91,'Carbon Risk Factor BMG'!$H$15),NA())</f>
        <v>#N/A</v>
      </c>
      <c r="N92" s="272">
        <f t="shared" si="26"/>
        <v>-0.21101512934995958</v>
      </c>
      <c r="P92" s="421">
        <v>42947</v>
      </c>
      <c r="Q92" s="154">
        <f>HLOOKUP(Q$1,'Asset Returns'!$F$1:$N$109,ROW(),0)</f>
        <v>3.5725052758516673E-2</v>
      </c>
      <c r="R92" s="154">
        <f>HLOOKUP(R$1,'Asset Returns'!$F$1:$N$109,ROW(),0)</f>
        <v>7.5844032334759781E-2</v>
      </c>
      <c r="S92" s="154">
        <f>HLOOKUP(S$1,'Asset Returns'!$F$1:$N$109,ROW(),0)</f>
        <v>2.1811944627744717E-2</v>
      </c>
      <c r="T92" s="154">
        <f>HLOOKUP(T$1,'Asset Returns'!$F$1:$N$109,ROW(),0)</f>
        <v>-5.9549052431438043E-2</v>
      </c>
      <c r="U92" s="154">
        <f>HLOOKUP(U$1,'Asset Returns'!$F$1:$N$109,ROW(),0)</f>
        <v>3.5704028448610314E-2</v>
      </c>
      <c r="V92" s="273">
        <f>IF(IF(Equity!$J$10="no",AA92,AF92)=0,NA(),IF(Equity!$J$10="no",AA92,AF92))</f>
        <v>0.76773036565755604</v>
      </c>
      <c r="W92" s="273">
        <f>IF(IF(Equity!$J$10="no",AB92,AG92)=0,NA(),IF(Equity!$J$10="no",AB92,AG92))</f>
        <v>-1.1752228463359513</v>
      </c>
      <c r="X92" s="273">
        <f>IF(IF(Equity!$J$10="no",AC92,AH92)=0,NA(),IF(Equity!$J$10="no",AC92,AH92))</f>
        <v>0.9075111124900429</v>
      </c>
      <c r="Y92" s="273">
        <f>IF(IF(Equity!$J$10="no",AD92,AI92)=0,NA(),IF(Equity!$J$10="no",AD92,AI92))</f>
        <v>0.34816356077769911</v>
      </c>
      <c r="Z92" s="273">
        <f>IF(IF(Equity!$J$10="no",AE92,AJ92)=0,NA(),IF(Equity!$J$10="no",AE92,AJ92))</f>
        <v>7.7528096198445251E-2</v>
      </c>
      <c r="AA92" s="274">
        <f ca="1">Equity!$R$34</f>
        <v>0.64097224418739052</v>
      </c>
      <c r="AB92" s="274">
        <f ca="1">Equity!$R$36</f>
        <v>-0.78557102570241866</v>
      </c>
      <c r="AC92" s="274">
        <f ca="1">Equity!$R$38</f>
        <v>0.9378377404978776</v>
      </c>
      <c r="AD92" s="274">
        <f ca="1">Equity!$R$40</f>
        <v>0.17519882647973573</v>
      </c>
      <c r="AE92" s="274">
        <f ca="1">Equity!$R$42</f>
        <v>7.3760094442444454E-2</v>
      </c>
      <c r="AF92" s="274">
        <f>INDEX(LINEST(Q33:Q92,'AC2'!$F33:$J92,1,1),1,1)</f>
        <v>0.76773036565755604</v>
      </c>
      <c r="AG92" s="274">
        <f>INDEX(LINEST(R33:R92,'AC2'!$F33:$J92,1,1),1,1)</f>
        <v>-1.1752228463359513</v>
      </c>
      <c r="AH92" s="274">
        <f>INDEX(LINEST(S33:S92,'AC2'!$F33:$J92,1,1),1,1)</f>
        <v>0.9075111124900429</v>
      </c>
      <c r="AI92" s="274">
        <f>INDEX(LINEST(T33:T92,'AC2'!$F33:$J92,1,1),1,1)</f>
        <v>0.34816356077769911</v>
      </c>
      <c r="AJ92" s="274">
        <f>INDEX(LINEST(U33:U92,'AC2'!$F33:$J92,1,1),1,1)</f>
        <v>7.7528096198445251E-2</v>
      </c>
      <c r="AK92" s="154"/>
      <c r="AL92" s="421">
        <v>42947</v>
      </c>
      <c r="AM92" s="154">
        <f>HLOOKUP(AM$1,'Asset Returns'!$F$1:$ZS$109,ROW(),0)</f>
        <v>2.0756400406463094E-4</v>
      </c>
      <c r="AN92" s="154">
        <f>HLOOKUP(AN$1,'Asset Returns'!$F$1:$ZS$109,ROW(),0)</f>
        <v>1.4160454853478388E-2</v>
      </c>
      <c r="AO92" s="273">
        <f ca="1">IF(IF(Bonds!$J$10="no",AQ92,AS92)=0,NA(),IF(Bonds!$J$10="no",AQ92,AS92))</f>
        <v>-0.12498736259259137</v>
      </c>
      <c r="AP92" s="273">
        <f ca="1">IF(IF(Bonds!$J$10="no",AR92,AT92)=0,NA(),IF(Bonds!$J$10="no",AR92,AT92))</f>
        <v>0.19970923689173462</v>
      </c>
      <c r="AQ92" s="273">
        <f ca="1">Bonds!$P$32</f>
        <v>-0.12498736259259137</v>
      </c>
      <c r="AR92" s="273">
        <f ca="1">Bonds!$P$34</f>
        <v>0.19970923689173462</v>
      </c>
      <c r="AS92" s="274">
        <f>INDEX(LINEST(AM33:AM92,'AC2'!$F33:$J92,1,1),1,1)</f>
        <v>0.18919442387521118</v>
      </c>
      <c r="AT92" s="274">
        <f>INDEX(LINEST(AN33:AN92,'AC2'!$F33:$J92,1,1),1,1)</f>
        <v>0.39447301568529003</v>
      </c>
      <c r="AU92" s="154"/>
      <c r="AV92" s="421">
        <v>42947</v>
      </c>
      <c r="AW92" s="154">
        <f>HLOOKUP(AW$1,'Asset Returns'!$F$1:$ZS$109,ROW(),0)</f>
        <v>4.3269200000000001E-2</v>
      </c>
      <c r="AX92" s="154">
        <f>HLOOKUP(AX$1,'Asset Returns'!$F$1:$ZS$109,ROW(),0)</f>
        <v>2.3635799999999998E-2</v>
      </c>
      <c r="AY92" s="154">
        <f>HLOOKUP(AY$1,'Asset Returns'!$F$1:$ZS$109,ROW(),0)</f>
        <v>1.3761460000000001E-2</v>
      </c>
      <c r="AZ92" s="154">
        <f>HLOOKUP(AZ$1,'Asset Returns'!$F$1:$ZS$109,ROW(),0)</f>
        <v>2.5029599999999999E-2</v>
      </c>
      <c r="BA92" s="154">
        <f>HLOOKUP(BA$1,'Asset Returns'!$F$1:$ZS$109,ROW(),0)</f>
        <v>-5.0113399999999995E-2</v>
      </c>
      <c r="BB92" s="273">
        <f>IF(IF(Funds!$J$10="no",BG92,BL92)=0,NA(),IF(Funds!$J$10="no",BG92,BL92))</f>
        <v>3.6121951210760996</v>
      </c>
      <c r="BC92" s="273">
        <f>IF(IF(Funds!$J$10="no",BH92,BM92)=0,NA(),IF(Funds!$J$10="no",BH92,BM92))</f>
        <v>3.3693060304202806E-2</v>
      </c>
      <c r="BD92" s="273">
        <f>IF(IF(Funds!$J$10="no",BI92,BN92)=0,NA(),IF(Funds!$J$10="no",BI92,BN92))</f>
        <v>-0.21413210334369978</v>
      </c>
      <c r="BE92" s="273">
        <f>IF(IF(Funds!$J$10="no",BJ92,BO92)=0,NA(),IF(Funds!$J$10="no",BJ92,BO92))</f>
        <v>-0.15204943542250363</v>
      </c>
      <c r="BF92" s="273">
        <f>IF(IF(Funds!$J$10="no",BK92,BP92)=0,NA(),IF(Funds!$J$10="no",BK92,BP92))</f>
        <v>-1.6171118175438488</v>
      </c>
      <c r="BG92" s="274">
        <f ca="1">Funds!$R$34</f>
        <v>2.5919346055080732</v>
      </c>
      <c r="BH92" s="274">
        <f ca="1">Funds!$R$36</f>
        <v>1.3378677483181089E-2</v>
      </c>
      <c r="BI92" s="274">
        <f ca="1">Funds!$R$38</f>
        <v>-0.15972963753204919</v>
      </c>
      <c r="BJ92" s="274">
        <f ca="1">Funds!$R$40</f>
        <v>-0.16887551350866659</v>
      </c>
      <c r="BK92" s="274">
        <f ca="1">Funds!$R$42</f>
        <v>-1.9222891726906419</v>
      </c>
      <c r="BL92" s="274">
        <f>INDEX(LINEST(AW33:AW92,'AC2'!$F33:$J92,1,1),1,1)</f>
        <v>3.6121951210760996</v>
      </c>
      <c r="BM92" s="274">
        <f>INDEX(LINEST(AX33:AX92,'AC2'!$F33:$J92,1,1),1,1)</f>
        <v>3.3693060304202806E-2</v>
      </c>
      <c r="BN92" s="274">
        <f>INDEX(LINEST(AY33:AY92,'AC2'!$F33:$J92,1,1),1,1)</f>
        <v>-0.21413210334369978</v>
      </c>
      <c r="BO92" s="274">
        <f>INDEX(LINEST(AZ33:AZ92,'AC2'!$F33:$J92,1,1),1,1)</f>
        <v>-0.15204943542250363</v>
      </c>
      <c r="BP92" s="274">
        <f>INDEX(LINEST(BA33:BA92,'AC2'!$F33:$J92,1,1),1,1)</f>
        <v>-1.6171118175438488</v>
      </c>
      <c r="BR92" s="154"/>
      <c r="BT92" s="154"/>
      <c r="BU92" s="154"/>
      <c r="BX92" s="154"/>
      <c r="BZ92" s="154"/>
      <c r="CA92" s="154"/>
      <c r="CB92" s="154"/>
      <c r="CE92" s="154"/>
      <c r="CG92" s="218"/>
      <c r="CH92" s="154"/>
      <c r="CJ92" s="154"/>
      <c r="CL92" s="154"/>
      <c r="CN92" s="154"/>
      <c r="CP92" s="154"/>
      <c r="CR92" s="154"/>
      <c r="CT92" s="154"/>
    </row>
    <row r="93" spans="6:98">
      <c r="F93" s="421">
        <v>42978</v>
      </c>
      <c r="G93" s="272">
        <f>BMG!F93</f>
        <v>3.9975999999999996E-3</v>
      </c>
      <c r="H93" s="272" t="e">
        <f>IF('Carbon Risk Factor BMG'!$G$10="yes",AVERAGE(AC!$G57:$G92),NA())</f>
        <v>#N/A</v>
      </c>
      <c r="I93" s="272" t="e">
        <f>IF('Carbon Risk Factor BMG'!$G$11="yes",MIN(AC!$G57:$G92),NA())</f>
        <v>#N/A</v>
      </c>
      <c r="J93" s="272" t="e">
        <f>IF('Carbon Risk Factor BMG'!$G$12="yes",MAX(AC!$G57:$G92),NA())</f>
        <v>#N/A</v>
      </c>
      <c r="K93" s="272" t="e">
        <f>IF('Carbon Risk Factor BMG'!$G$13="yes",_xlfn.STDEV.S(AC!$G57:$G92),NA())</f>
        <v>#N/A</v>
      </c>
      <c r="L93" s="272" t="e">
        <f>IF('Carbon Risk Factor BMG'!$G$14="yes",_xlfn.PERCENTILE.INC(AC!$G57:$G92,'Carbon Risk Factor BMG'!$H$14),NA())</f>
        <v>#N/A</v>
      </c>
      <c r="M93" s="272" t="e">
        <f>IF('Carbon Risk Factor BMG'!$G$15="yes",_xlfn.PERCENTILE.INC(AC!$G57:$G92,'Carbon Risk Factor BMG'!$H$15),NA())</f>
        <v>#N/A</v>
      </c>
      <c r="N93" s="272">
        <f t="shared" si="26"/>
        <v>-0.20786108343104903</v>
      </c>
      <c r="P93" s="421">
        <v>42978</v>
      </c>
      <c r="Q93" s="154">
        <f>HLOOKUP(Q$1,'Asset Returns'!$F$1:$N$109,ROW(),0)</f>
        <v>-0.15005093872798714</v>
      </c>
      <c r="R93" s="154">
        <f>HLOOKUP(R$1,'Asset Returns'!$F$1:$N$109,ROW(),0)</f>
        <v>-4.198895027624272E-3</v>
      </c>
      <c r="S93" s="154">
        <f>HLOOKUP(S$1,'Asset Returns'!$F$1:$N$109,ROW(),0)</f>
        <v>-7.7802185151403247E-3</v>
      </c>
      <c r="T93" s="154">
        <f>HLOOKUP(T$1,'Asset Returns'!$F$1:$N$109,ROW(),0)</f>
        <v>-9.0098801026694542E-4</v>
      </c>
      <c r="U93" s="154">
        <f>HLOOKUP(U$1,'Asset Returns'!$F$1:$N$109,ROW(),0)</f>
        <v>5.9184951105119232E-2</v>
      </c>
      <c r="V93" s="273">
        <f>IF(IF(Equity!$J$10="no",AA93,AF93)=0,NA(),IF(Equity!$J$10="no",AA93,AF93))</f>
        <v>0.5670551007074377</v>
      </c>
      <c r="W93" s="273">
        <f>IF(IF(Equity!$J$10="no",AB93,AG93)=0,NA(),IF(Equity!$J$10="no",AB93,AG93))</f>
        <v>-1.1804628920999007</v>
      </c>
      <c r="X93" s="273">
        <f>IF(IF(Equity!$J$10="no",AC93,AH93)=0,NA(),IF(Equity!$J$10="no",AC93,AH93))</f>
        <v>0.96134277227445986</v>
      </c>
      <c r="Y93" s="273">
        <f>IF(IF(Equity!$J$10="no",AD93,AI93)=0,NA(),IF(Equity!$J$10="no",AD93,AI93))</f>
        <v>0.34196942739628927</v>
      </c>
      <c r="Z93" s="273">
        <f>IF(IF(Equity!$J$10="no",AE93,AJ93)=0,NA(),IF(Equity!$J$10="no",AE93,AJ93))</f>
        <v>8.5664642332873173E-2</v>
      </c>
      <c r="AA93" s="274">
        <f ca="1">Equity!$R$34</f>
        <v>0.64097224418739052</v>
      </c>
      <c r="AB93" s="274">
        <f ca="1">Equity!$R$36</f>
        <v>-0.78557102570241866</v>
      </c>
      <c r="AC93" s="274">
        <f ca="1">Equity!$R$38</f>
        <v>0.9378377404978776</v>
      </c>
      <c r="AD93" s="274">
        <f ca="1">Equity!$R$40</f>
        <v>0.17519882647973573</v>
      </c>
      <c r="AE93" s="274">
        <f ca="1">Equity!$R$42</f>
        <v>7.3760094442444454E-2</v>
      </c>
      <c r="AF93" s="274">
        <f>INDEX(LINEST(Q34:Q93,'AC2'!$F34:$J93,1,1),1,1)</f>
        <v>0.5670551007074377</v>
      </c>
      <c r="AG93" s="274">
        <f>INDEX(LINEST(R34:R93,'AC2'!$F34:$J93,1,1),1,1)</f>
        <v>-1.1804628920999007</v>
      </c>
      <c r="AH93" s="274">
        <f>INDEX(LINEST(S34:S93,'AC2'!$F34:$J93,1,1),1,1)</f>
        <v>0.96134277227445986</v>
      </c>
      <c r="AI93" s="274">
        <f>INDEX(LINEST(T34:T93,'AC2'!$F34:$J93,1,1),1,1)</f>
        <v>0.34196942739628927</v>
      </c>
      <c r="AJ93" s="274">
        <f>INDEX(LINEST(U34:U93,'AC2'!$F34:$J93,1,1),1,1)</f>
        <v>8.5664642332873173E-2</v>
      </c>
      <c r="AK93" s="154"/>
      <c r="AL93" s="421">
        <v>42978</v>
      </c>
      <c r="AM93" s="154">
        <f>HLOOKUP(AM$1,'Asset Returns'!$F$1:$ZS$109,ROW(),0)</f>
        <v>2.3391015892386458E-2</v>
      </c>
      <c r="AN93" s="154">
        <f>HLOOKUP(AN$1,'Asset Returns'!$F$1:$ZS$109,ROW(),0)</f>
        <v>1.434572337729545E-2</v>
      </c>
      <c r="AO93" s="273">
        <f ca="1">IF(IF(Bonds!$J$10="no",AQ93,AS93)=0,NA(),IF(Bonds!$J$10="no",AQ93,AS93))</f>
        <v>-0.12498736259259137</v>
      </c>
      <c r="AP93" s="273">
        <f ca="1">IF(IF(Bonds!$J$10="no",AR93,AT93)=0,NA(),IF(Bonds!$J$10="no",AR93,AT93))</f>
        <v>0.19970923689173462</v>
      </c>
      <c r="AQ93" s="273">
        <f ca="1">Bonds!$P$32</f>
        <v>-0.12498736259259137</v>
      </c>
      <c r="AR93" s="273">
        <f ca="1">Bonds!$P$34</f>
        <v>0.19970923689173462</v>
      </c>
      <c r="AS93" s="274">
        <f>INDEX(LINEST(AM34:AM93,'AC2'!$F34:$J93,1,1),1,1)</f>
        <v>0.20092087769125144</v>
      </c>
      <c r="AT93" s="274">
        <f>INDEX(LINEST(AN34:AN93,'AC2'!$F34:$J93,1,1),1,1)</f>
        <v>0.39296314102979951</v>
      </c>
      <c r="AU93" s="154"/>
      <c r="AV93" s="421">
        <v>42978</v>
      </c>
      <c r="AW93" s="154">
        <f>HLOOKUP(AW$1,'Asset Returns'!$F$1:$ZS$109,ROW(),0)</f>
        <v>2.7649799999999999E-2</v>
      </c>
      <c r="AX93" s="154">
        <f>HLOOKUP(AX$1,'Asset Returns'!$F$1:$ZS$109,ROW(),0)</f>
        <v>1.1555999999999999E-3</v>
      </c>
      <c r="AY93" s="154">
        <f>HLOOKUP(AY$1,'Asset Returns'!$F$1:$ZS$109,ROW(),0)</f>
        <v>-6.0414599999999994E-3</v>
      </c>
      <c r="AZ93" s="154">
        <f>HLOOKUP(AZ$1,'Asset Returns'!$F$1:$ZS$109,ROW(),0)</f>
        <v>6.1289800000000009E-3</v>
      </c>
      <c r="BA93" s="154">
        <f>HLOOKUP(BA$1,'Asset Returns'!$F$1:$ZS$109,ROW(),0)</f>
        <v>0.11441599999999999</v>
      </c>
      <c r="BB93" s="273">
        <f>IF(IF(Funds!$J$10="no",BG93,BL93)=0,NA(),IF(Funds!$J$10="no",BG93,BL93))</f>
        <v>3.771797376188573</v>
      </c>
      <c r="BC93" s="273">
        <f>IF(IF(Funds!$J$10="no",BH93,BM93)=0,NA(),IF(Funds!$J$10="no",BH93,BM93))</f>
        <v>3.0172203379740418E-2</v>
      </c>
      <c r="BD93" s="273">
        <f>IF(IF(Funds!$J$10="no",BI93,BN93)=0,NA(),IF(Funds!$J$10="no",BI93,BN93))</f>
        <v>-0.21611431489538241</v>
      </c>
      <c r="BE93" s="273">
        <f>IF(IF(Funds!$J$10="no",BJ93,BO93)=0,NA(),IF(Funds!$J$10="no",BJ93,BO93))</f>
        <v>-0.12820501003998566</v>
      </c>
      <c r="BF93" s="273">
        <f>IF(IF(Funds!$J$10="no",BK93,BP93)=0,NA(),IF(Funds!$J$10="no",BK93,BP93))</f>
        <v>-1.5300747286828269</v>
      </c>
      <c r="BG93" s="274">
        <f ca="1">Funds!$R$34</f>
        <v>2.5919346055080732</v>
      </c>
      <c r="BH93" s="274">
        <f ca="1">Funds!$R$36</f>
        <v>1.3378677483181089E-2</v>
      </c>
      <c r="BI93" s="274">
        <f ca="1">Funds!$R$38</f>
        <v>-0.15972963753204919</v>
      </c>
      <c r="BJ93" s="274">
        <f ca="1">Funds!$R$40</f>
        <v>-0.16887551350866659</v>
      </c>
      <c r="BK93" s="274">
        <f ca="1">Funds!$R$42</f>
        <v>-1.9222891726906419</v>
      </c>
      <c r="BL93" s="274">
        <f>INDEX(LINEST(AW34:AW93,'AC2'!$F34:$J93,1,1),1,1)</f>
        <v>3.771797376188573</v>
      </c>
      <c r="BM93" s="274">
        <f>INDEX(LINEST(AX34:AX93,'AC2'!$F34:$J93,1,1),1,1)</f>
        <v>3.0172203379740418E-2</v>
      </c>
      <c r="BN93" s="274">
        <f>INDEX(LINEST(AY34:AY93,'AC2'!$F34:$J93,1,1),1,1)</f>
        <v>-0.21611431489538241</v>
      </c>
      <c r="BO93" s="274">
        <f>INDEX(LINEST(AZ34:AZ93,'AC2'!$F34:$J93,1,1),1,1)</f>
        <v>-0.12820501003998566</v>
      </c>
      <c r="BP93" s="274">
        <f>INDEX(LINEST(BA34:BA93,'AC2'!$F34:$J93,1,1),1,1)</f>
        <v>-1.5300747286828269</v>
      </c>
      <c r="BR93" s="154"/>
      <c r="BT93" s="154"/>
      <c r="CG93" s="218"/>
      <c r="CH93" s="154"/>
      <c r="CJ93" s="154"/>
      <c r="CL93" s="154"/>
      <c r="CN93" s="154"/>
      <c r="CP93" s="154"/>
      <c r="CR93" s="154"/>
      <c r="CT93" s="154"/>
    </row>
    <row r="94" spans="6:98">
      <c r="F94" s="421">
        <v>43008</v>
      </c>
      <c r="G94" s="272">
        <f>BMG!F94</f>
        <v>-1.5708E-3</v>
      </c>
      <c r="H94" s="272" t="e">
        <f>IF('Carbon Risk Factor BMG'!$G$10="yes",AVERAGE(AC!$G58:$G93),NA())</f>
        <v>#N/A</v>
      </c>
      <c r="I94" s="272" t="e">
        <f>IF('Carbon Risk Factor BMG'!$G$11="yes",MIN(AC!$G58:$G93),NA())</f>
        <v>#N/A</v>
      </c>
      <c r="J94" s="272" t="e">
        <f>IF('Carbon Risk Factor BMG'!$G$12="yes",MAX(AC!$G58:$G93),NA())</f>
        <v>#N/A</v>
      </c>
      <c r="K94" s="272" t="e">
        <f>IF('Carbon Risk Factor BMG'!$G$13="yes",_xlfn.STDEV.S(AC!$G58:$G93),NA())</f>
        <v>#N/A</v>
      </c>
      <c r="L94" s="272" t="e">
        <f>IF('Carbon Risk Factor BMG'!$G$14="yes",_xlfn.PERCENTILE.INC(AC!$G58:$G93,'Carbon Risk Factor BMG'!$H$14),NA())</f>
        <v>#N/A</v>
      </c>
      <c r="M94" s="272" t="e">
        <f>IF('Carbon Risk Factor BMG'!$G$15="yes",_xlfn.PERCENTILE.INC(AC!$G58:$G93,'Carbon Risk Factor BMG'!$H$15),NA())</f>
        <v>#N/A</v>
      </c>
      <c r="N94" s="272">
        <f t="shared" si="26"/>
        <v>-0.20910537524119555</v>
      </c>
      <c r="P94" s="421">
        <v>43008</v>
      </c>
      <c r="Q94" s="154">
        <f>HLOOKUP(Q$1,'Asset Returns'!$F$1:$N$109,ROW(),0)</f>
        <v>4.3493150684931425E-2</v>
      </c>
      <c r="R94" s="154">
        <f>HLOOKUP(R$1,'Asset Returns'!$F$1:$N$109,ROW(),0)</f>
        <v>7.6786506879715999E-2</v>
      </c>
      <c r="S94" s="154">
        <f>HLOOKUP(S$1,'Asset Returns'!$F$1:$N$109,ROW(),0)</f>
        <v>0.1164078729537088</v>
      </c>
      <c r="T94" s="154">
        <f>HLOOKUP(T$1,'Asset Returns'!$F$1:$N$109,ROW(),0)</f>
        <v>1.4336428781953403E-2</v>
      </c>
      <c r="U94" s="154">
        <f>HLOOKUP(U$1,'Asset Returns'!$F$1:$N$109,ROW(),0)</f>
        <v>-3.8540891948283473E-2</v>
      </c>
      <c r="V94" s="273">
        <f>IF(IF(Equity!$J$10="no",AA94,AF94)=0,NA(),IF(Equity!$J$10="no",AA94,AF94))</f>
        <v>0.5313038601430623</v>
      </c>
      <c r="W94" s="273">
        <f>IF(IF(Equity!$J$10="no",AB94,AG94)=0,NA(),IF(Equity!$J$10="no",AB94,AG94))</f>
        <v>-1.2008114500324019</v>
      </c>
      <c r="X94" s="273">
        <f>IF(IF(Equity!$J$10="no",AC94,AH94)=0,NA(),IF(Equity!$J$10="no",AC94,AH94))</f>
        <v>0.90669624936491888</v>
      </c>
      <c r="Y94" s="273">
        <f>IF(IF(Equity!$J$10="no",AD94,AI94)=0,NA(),IF(Equity!$J$10="no",AD94,AI94))</f>
        <v>0.33538127891825092</v>
      </c>
      <c r="Z94" s="273">
        <f>IF(IF(Equity!$J$10="no",AE94,AJ94)=0,NA(),IF(Equity!$J$10="no",AE94,AJ94))</f>
        <v>0.13648451497824682</v>
      </c>
      <c r="AA94" s="274">
        <f ca="1">Equity!$R$34</f>
        <v>0.64097224418739052</v>
      </c>
      <c r="AB94" s="274">
        <f ca="1">Equity!$R$36</f>
        <v>-0.78557102570241866</v>
      </c>
      <c r="AC94" s="274">
        <f ca="1">Equity!$R$38</f>
        <v>0.9378377404978776</v>
      </c>
      <c r="AD94" s="274">
        <f ca="1">Equity!$R$40</f>
        <v>0.17519882647973573</v>
      </c>
      <c r="AE94" s="274">
        <f ca="1">Equity!$R$42</f>
        <v>7.3760094442444454E-2</v>
      </c>
      <c r="AF94" s="274">
        <f>INDEX(LINEST(Q35:Q94,'AC2'!$F35:$J94,1,1),1,1)</f>
        <v>0.5313038601430623</v>
      </c>
      <c r="AG94" s="274">
        <f>INDEX(LINEST(R35:R94,'AC2'!$F35:$J94,1,1),1,1)</f>
        <v>-1.2008114500324019</v>
      </c>
      <c r="AH94" s="274">
        <f>INDEX(LINEST(S35:S94,'AC2'!$F35:$J94,1,1),1,1)</f>
        <v>0.90669624936491888</v>
      </c>
      <c r="AI94" s="274">
        <f>INDEX(LINEST(T35:T94,'AC2'!$F35:$J94,1,1),1,1)</f>
        <v>0.33538127891825092</v>
      </c>
      <c r="AJ94" s="274">
        <f>INDEX(LINEST(U35:U94,'AC2'!$F35:$J94,1,1),1,1)</f>
        <v>0.13648451497824682</v>
      </c>
      <c r="AK94" s="154"/>
      <c r="AL94" s="421">
        <v>43008</v>
      </c>
      <c r="AM94" s="154">
        <f>HLOOKUP(AM$1,'Asset Returns'!$F$1:$ZS$109,ROW(),0)</f>
        <v>-4.8333741915371764E-3</v>
      </c>
      <c r="AN94" s="154">
        <f>HLOOKUP(AN$1,'Asset Returns'!$F$1:$ZS$109,ROW(),0)</f>
        <v>-2.8165167095115629E-2</v>
      </c>
      <c r="AO94" s="273">
        <f ca="1">IF(IF(Bonds!$J$10="no",AQ94,AS94)=0,NA(),IF(Bonds!$J$10="no",AQ94,AS94))</f>
        <v>-0.12498736259259137</v>
      </c>
      <c r="AP94" s="273">
        <f ca="1">IF(IF(Bonds!$J$10="no",AR94,AT94)=0,NA(),IF(Bonds!$J$10="no",AR94,AT94))</f>
        <v>0.19970923689173462</v>
      </c>
      <c r="AQ94" s="273">
        <f ca="1">Bonds!$P$32</f>
        <v>-0.12498736259259137</v>
      </c>
      <c r="AR94" s="273">
        <f ca="1">Bonds!$P$34</f>
        <v>0.19970923689173462</v>
      </c>
      <c r="AS94" s="274">
        <f>INDEX(LINEST(AM35:AM94,'AC2'!$F35:$J94,1,1),1,1)</f>
        <v>0.19606791966950851</v>
      </c>
      <c r="AT94" s="274">
        <f>INDEX(LINEST(AN35:AN94,'AC2'!$F35:$J94,1,1),1,1)</f>
        <v>0.40541462599444472</v>
      </c>
      <c r="AU94" s="154"/>
      <c r="AV94" s="421">
        <v>43008</v>
      </c>
      <c r="AW94" s="154">
        <f>HLOOKUP(AW$1,'Asset Returns'!$F$1:$ZS$109,ROW(),0)</f>
        <v>-3.2884900000000002E-2</v>
      </c>
      <c r="AX94" s="154">
        <f>HLOOKUP(AX$1,'Asset Returns'!$F$1:$ZS$109,ROW(),0)</f>
        <v>2.24379E-2</v>
      </c>
      <c r="AY94" s="154">
        <f>HLOOKUP(AY$1,'Asset Returns'!$F$1:$ZS$109,ROW(),0)</f>
        <v>3.7719710000000004E-2</v>
      </c>
      <c r="AZ94" s="154">
        <f>HLOOKUP(AZ$1,'Asset Returns'!$F$1:$ZS$109,ROW(),0)</f>
        <v>2.698499E-2</v>
      </c>
      <c r="BA94" s="154">
        <f>HLOOKUP(BA$1,'Asset Returns'!$F$1:$ZS$109,ROW(),0)</f>
        <v>-0.1772842</v>
      </c>
      <c r="BB94" s="273">
        <f>IF(IF(Funds!$J$10="no",BG94,BL94)=0,NA(),IF(Funds!$J$10="no",BG94,BL94))</f>
        <v>3.7740077945878436</v>
      </c>
      <c r="BC94" s="273">
        <f>IF(IF(Funds!$J$10="no",BH94,BM94)=0,NA(),IF(Funds!$J$10="no",BH94,BM94))</f>
        <v>2.8495376180485185E-2</v>
      </c>
      <c r="BD94" s="273">
        <f>IF(IF(Funds!$J$10="no",BI94,BN94)=0,NA(),IF(Funds!$J$10="no",BI94,BN94))</f>
        <v>-0.22964046600883539</v>
      </c>
      <c r="BE94" s="273">
        <f>IF(IF(Funds!$J$10="no",BJ94,BO94)=0,NA(),IF(Funds!$J$10="no",BJ94,BO94))</f>
        <v>-0.13470258336079163</v>
      </c>
      <c r="BF94" s="273">
        <f>IF(IF(Funds!$J$10="no",BK94,BP94)=0,NA(),IF(Funds!$J$10="no",BK94,BP94))</f>
        <v>-1.4632917802132488</v>
      </c>
      <c r="BG94" s="274">
        <f ca="1">Funds!$R$34</f>
        <v>2.5919346055080732</v>
      </c>
      <c r="BH94" s="274">
        <f ca="1">Funds!$R$36</f>
        <v>1.3378677483181089E-2</v>
      </c>
      <c r="BI94" s="274">
        <f ca="1">Funds!$R$38</f>
        <v>-0.15972963753204919</v>
      </c>
      <c r="BJ94" s="274">
        <f ca="1">Funds!$R$40</f>
        <v>-0.16887551350866659</v>
      </c>
      <c r="BK94" s="274">
        <f ca="1">Funds!$R$42</f>
        <v>-1.9222891726906419</v>
      </c>
      <c r="BL94" s="274">
        <f>INDEX(LINEST(AW35:AW94,'AC2'!$F35:$J94,1,1),1,1)</f>
        <v>3.7740077945878436</v>
      </c>
      <c r="BM94" s="274">
        <f>INDEX(LINEST(AX35:AX94,'AC2'!$F35:$J94,1,1),1,1)</f>
        <v>2.8495376180485185E-2</v>
      </c>
      <c r="BN94" s="274">
        <f>INDEX(LINEST(AY35:AY94,'AC2'!$F35:$J94,1,1),1,1)</f>
        <v>-0.22964046600883539</v>
      </c>
      <c r="BO94" s="274">
        <f>INDEX(LINEST(AZ35:AZ94,'AC2'!$F35:$J94,1,1),1,1)</f>
        <v>-0.13470258336079163</v>
      </c>
      <c r="BP94" s="274">
        <f>INDEX(LINEST(BA35:BA94,'AC2'!$F35:$J94,1,1),1,1)</f>
        <v>-1.4632917802132488</v>
      </c>
      <c r="BR94" s="154"/>
      <c r="BT94" s="154"/>
      <c r="CG94" s="218"/>
      <c r="CH94" s="154"/>
      <c r="CJ94" s="154"/>
      <c r="CL94" s="154"/>
      <c r="CN94" s="154"/>
      <c r="CP94" s="154"/>
      <c r="CR94" s="154"/>
      <c r="CT94" s="154"/>
    </row>
    <row r="95" spans="6:98">
      <c r="F95" s="421">
        <v>43039</v>
      </c>
      <c r="G95" s="272">
        <f>BMG!F95</f>
        <v>-1.3669499999999999E-2</v>
      </c>
      <c r="H95" s="272" t="e">
        <f>IF('Carbon Risk Factor BMG'!$G$10="yes",AVERAGE(AC!$G59:$G94),NA())</f>
        <v>#N/A</v>
      </c>
      <c r="I95" s="272" t="e">
        <f>IF('Carbon Risk Factor BMG'!$G$11="yes",MIN(AC!$G59:$G94),NA())</f>
        <v>#N/A</v>
      </c>
      <c r="J95" s="272" t="e">
        <f>IF('Carbon Risk Factor BMG'!$G$12="yes",MAX(AC!$G59:$G94),NA())</f>
        <v>#N/A</v>
      </c>
      <c r="K95" s="272" t="e">
        <f>IF('Carbon Risk Factor BMG'!$G$13="yes",_xlfn.STDEV.S(AC!$G59:$G94),NA())</f>
        <v>#N/A</v>
      </c>
      <c r="L95" s="272" t="e">
        <f>IF('Carbon Risk Factor BMG'!$G$14="yes",_xlfn.PERCENTILE.INC(AC!$G59:$G94,'Carbon Risk Factor BMG'!$H$14),NA())</f>
        <v>#N/A</v>
      </c>
      <c r="M95" s="272" t="e">
        <f>IF('Carbon Risk Factor BMG'!$G$15="yes",_xlfn.PERCENTILE.INC(AC!$G59:$G94,'Carbon Risk Factor BMG'!$H$15),NA())</f>
        <v>#N/A</v>
      </c>
      <c r="N95" s="272">
        <f t="shared" si="26"/>
        <v>-0.21991650931433604</v>
      </c>
      <c r="P95" s="421">
        <v>43039</v>
      </c>
      <c r="Q95" s="154">
        <f>HLOOKUP(Q$1,'Asset Returns'!$F$1:$N$109,ROW(),0)</f>
        <v>7.5976370200196763E-2</v>
      </c>
      <c r="R95" s="154">
        <f>HLOOKUP(R$1,'Asset Returns'!$F$1:$N$109,ROW(),0)</f>
        <v>3.1945589447650358E-2</v>
      </c>
      <c r="S95" s="154">
        <f>HLOOKUP(S$1,'Asset Returns'!$F$1:$N$109,ROW(),0)</f>
        <v>5.8013952429915028E-2</v>
      </c>
      <c r="T95" s="154">
        <f>HLOOKUP(T$1,'Asset Returns'!$F$1:$N$109,ROW(),0)</f>
        <v>6.1895551257253212E-2</v>
      </c>
      <c r="U95" s="154">
        <f>HLOOKUP(U$1,'Asset Returns'!$F$1:$N$109,ROW(),0)</f>
        <v>0.17415211092759209</v>
      </c>
      <c r="V95" s="273">
        <f>IF(IF(Equity!$J$10="no",AA95,AF95)=0,NA(),IF(Equity!$J$10="no",AA95,AF95))</f>
        <v>0.54847957305499351</v>
      </c>
      <c r="W95" s="273">
        <f>IF(IF(Equity!$J$10="no",AB95,AG95)=0,NA(),IF(Equity!$J$10="no",AB95,AG95))</f>
        <v>-1.1927465221786755</v>
      </c>
      <c r="X95" s="273">
        <f>IF(IF(Equity!$J$10="no",AC95,AH95)=0,NA(),IF(Equity!$J$10="no",AC95,AH95))</f>
        <v>0.91917330793621654</v>
      </c>
      <c r="Y95" s="273">
        <f>IF(IF(Equity!$J$10="no",AD95,AI95)=0,NA(),IF(Equity!$J$10="no",AD95,AI95))</f>
        <v>0.36470614866664275</v>
      </c>
      <c r="Z95" s="273">
        <f>IF(IF(Equity!$J$10="no",AE95,AJ95)=0,NA(),IF(Equity!$J$10="no",AE95,AJ95))</f>
        <v>0.16244997927555377</v>
      </c>
      <c r="AA95" s="274">
        <f ca="1">Equity!$R$34</f>
        <v>0.64097224418739052</v>
      </c>
      <c r="AB95" s="274">
        <f ca="1">Equity!$R$36</f>
        <v>-0.78557102570241866</v>
      </c>
      <c r="AC95" s="274">
        <f ca="1">Equity!$R$38</f>
        <v>0.9378377404978776</v>
      </c>
      <c r="AD95" s="274">
        <f ca="1">Equity!$R$40</f>
        <v>0.17519882647973573</v>
      </c>
      <c r="AE95" s="274">
        <f ca="1">Equity!$R$42</f>
        <v>7.3760094442444454E-2</v>
      </c>
      <c r="AF95" s="274">
        <f>INDEX(LINEST(Q36:Q95,'AC2'!$F36:$J95,1,1),1,1)</f>
        <v>0.54847957305499351</v>
      </c>
      <c r="AG95" s="274">
        <f>INDEX(LINEST(R36:R95,'AC2'!$F36:$J95,1,1),1,1)</f>
        <v>-1.1927465221786755</v>
      </c>
      <c r="AH95" s="274">
        <f>INDEX(LINEST(S36:S95,'AC2'!$F36:$J95,1,1),1,1)</f>
        <v>0.91917330793621654</v>
      </c>
      <c r="AI95" s="274">
        <f>INDEX(LINEST(T36:T95,'AC2'!$F36:$J95,1,1),1,1)</f>
        <v>0.36470614866664275</v>
      </c>
      <c r="AJ95" s="274">
        <f>INDEX(LINEST(U36:U95,'AC2'!$F36:$J95,1,1),1,1)</f>
        <v>0.16244997927555377</v>
      </c>
      <c r="AK95" s="154"/>
      <c r="AL95" s="421">
        <v>43039</v>
      </c>
      <c r="AM95" s="154">
        <f>HLOOKUP(AM$1,'Asset Returns'!$F$1:$ZS$109,ROW(),0)</f>
        <v>4.4097879044069366E-4</v>
      </c>
      <c r="AN95" s="154">
        <f>HLOOKUP(AN$1,'Asset Returns'!$F$1:$ZS$109,ROW(),0)</f>
        <v>-9.9194868318774887E-5</v>
      </c>
      <c r="AO95" s="273">
        <f ca="1">IF(IF(Bonds!$J$10="no",AQ95,AS95)=0,NA(),IF(Bonds!$J$10="no",AQ95,AS95))</f>
        <v>-0.12498736259259137</v>
      </c>
      <c r="AP95" s="273">
        <f ca="1">IF(IF(Bonds!$J$10="no",AR95,AT95)=0,NA(),IF(Bonds!$J$10="no",AR95,AT95))</f>
        <v>0.19970923689173462</v>
      </c>
      <c r="AQ95" s="273">
        <f ca="1">Bonds!$P$32</f>
        <v>-0.12498736259259137</v>
      </c>
      <c r="AR95" s="273">
        <f ca="1">Bonds!$P$34</f>
        <v>0.19970923689173462</v>
      </c>
      <c r="AS95" s="274">
        <f>INDEX(LINEST(AM36:AM95,'AC2'!$F36:$J95,1,1),1,1)</f>
        <v>0.19200638049485039</v>
      </c>
      <c r="AT95" s="274">
        <f>INDEX(LINEST(AN36:AN95,'AC2'!$F36:$J95,1,1),1,1)</f>
        <v>0.40089443054524387</v>
      </c>
      <c r="AU95" s="154"/>
      <c r="AV95" s="421">
        <v>43039</v>
      </c>
      <c r="AW95" s="154">
        <f>HLOOKUP(AW$1,'Asset Returns'!$F$1:$ZS$109,ROW(),0)</f>
        <v>-0.1020093</v>
      </c>
      <c r="AX95" s="154">
        <f>HLOOKUP(AX$1,'Asset Returns'!$F$1:$ZS$109,ROW(),0)</f>
        <v>1.86038E-2</v>
      </c>
      <c r="AY95" s="154">
        <f>HLOOKUP(AY$1,'Asset Returns'!$F$1:$ZS$109,ROW(),0)</f>
        <v>-5.0646999999999997E-4</v>
      </c>
      <c r="AZ95" s="154">
        <f>HLOOKUP(AZ$1,'Asset Returns'!$F$1:$ZS$109,ROW(),0)</f>
        <v>2.221151E-2</v>
      </c>
      <c r="BA95" s="154">
        <f>HLOOKUP(BA$1,'Asset Returns'!$F$1:$ZS$109,ROW(),0)</f>
        <v>1.5628699999999999E-2</v>
      </c>
      <c r="BB95" s="273">
        <f>IF(IF(Funds!$J$10="no",BG95,BL95)=0,NA(),IF(Funds!$J$10="no",BG95,BL95))</f>
        <v>3.7496154619015516</v>
      </c>
      <c r="BC95" s="273">
        <f>IF(IF(Funds!$J$10="no",BH95,BM95)=0,NA(),IF(Funds!$J$10="no",BH95,BM95))</f>
        <v>2.8814710440768821E-2</v>
      </c>
      <c r="BD95" s="273">
        <f>IF(IF(Funds!$J$10="no",BI95,BN95)=0,NA(),IF(Funds!$J$10="no",BI95,BN95))</f>
        <v>-0.23573620980883864</v>
      </c>
      <c r="BE95" s="273">
        <f>IF(IF(Funds!$J$10="no",BJ95,BO95)=0,NA(),IF(Funds!$J$10="no",BJ95,BO95))</f>
        <v>-0.1358650523725701</v>
      </c>
      <c r="BF95" s="273">
        <f>IF(IF(Funds!$J$10="no",BK95,BP95)=0,NA(),IF(Funds!$J$10="no",BK95,BP95))</f>
        <v>-1.4760672121686695</v>
      </c>
      <c r="BG95" s="274">
        <f ca="1">Funds!$R$34</f>
        <v>2.5919346055080732</v>
      </c>
      <c r="BH95" s="274">
        <f ca="1">Funds!$R$36</f>
        <v>1.3378677483181089E-2</v>
      </c>
      <c r="BI95" s="274">
        <f ca="1">Funds!$R$38</f>
        <v>-0.15972963753204919</v>
      </c>
      <c r="BJ95" s="274">
        <f ca="1">Funds!$R$40</f>
        <v>-0.16887551350866659</v>
      </c>
      <c r="BK95" s="274">
        <f ca="1">Funds!$R$42</f>
        <v>-1.9222891726906419</v>
      </c>
      <c r="BL95" s="274">
        <f>INDEX(LINEST(AW36:AW95,'AC2'!$F36:$J95,1,1),1,1)</f>
        <v>3.7496154619015516</v>
      </c>
      <c r="BM95" s="274">
        <f>INDEX(LINEST(AX36:AX95,'AC2'!$F36:$J95,1,1),1,1)</f>
        <v>2.8814710440768821E-2</v>
      </c>
      <c r="BN95" s="274">
        <f>INDEX(LINEST(AY36:AY95,'AC2'!$F36:$J95,1,1),1,1)</f>
        <v>-0.23573620980883864</v>
      </c>
      <c r="BO95" s="274">
        <f>INDEX(LINEST(AZ36:AZ95,'AC2'!$F36:$J95,1,1),1,1)</f>
        <v>-0.1358650523725701</v>
      </c>
      <c r="BP95" s="274">
        <f>INDEX(LINEST(BA36:BA95,'AC2'!$F36:$J95,1,1),1,1)</f>
        <v>-1.4760672121686695</v>
      </c>
      <c r="BR95" s="154"/>
      <c r="BT95" s="154"/>
      <c r="CG95" s="218"/>
      <c r="CH95" s="154"/>
      <c r="CJ95" s="154"/>
      <c r="CL95" s="154"/>
      <c r="CN95" s="154"/>
      <c r="CP95" s="154"/>
      <c r="CR95" s="154"/>
      <c r="CT95" s="154"/>
    </row>
    <row r="96" spans="6:98">
      <c r="F96" s="421">
        <v>43069</v>
      </c>
      <c r="G96" s="272">
        <f>BMG!F96</f>
        <v>1.03312E-2</v>
      </c>
      <c r="H96" s="272" t="e">
        <f>IF('Carbon Risk Factor BMG'!$G$10="yes",AVERAGE(AC!$G60:$G95),NA())</f>
        <v>#N/A</v>
      </c>
      <c r="I96" s="272" t="e">
        <f>IF('Carbon Risk Factor BMG'!$G$11="yes",MIN(AC!$G60:$G95),NA())</f>
        <v>#N/A</v>
      </c>
      <c r="J96" s="272" t="e">
        <f>IF('Carbon Risk Factor BMG'!$G$12="yes",MAX(AC!$G60:$G95),NA())</f>
        <v>#N/A</v>
      </c>
      <c r="K96" s="272" t="e">
        <f>IF('Carbon Risk Factor BMG'!$G$13="yes",_xlfn.STDEV.S(AC!$G60:$G95),NA())</f>
        <v>#N/A</v>
      </c>
      <c r="L96" s="272" t="e">
        <f>IF('Carbon Risk Factor BMG'!$G$14="yes",_xlfn.PERCENTILE.INC(AC!$G60:$G95,'Carbon Risk Factor BMG'!$H$14),NA())</f>
        <v>#N/A</v>
      </c>
      <c r="M96" s="272" t="e">
        <f>IF('Carbon Risk Factor BMG'!$G$15="yes",_xlfn.PERCENTILE.INC(AC!$G60:$G95,'Carbon Risk Factor BMG'!$H$15),NA())</f>
        <v>#N/A</v>
      </c>
      <c r="N96" s="272">
        <f t="shared" si="26"/>
        <v>-0.21185731075536429</v>
      </c>
      <c r="P96" s="421">
        <v>43069</v>
      </c>
      <c r="Q96" s="154">
        <f>HLOOKUP(Q$1,'Asset Returns'!$F$1:$N$109,ROW(),0)</f>
        <v>-5.2310507854201549E-2</v>
      </c>
      <c r="R96" s="154">
        <f>HLOOKUP(R$1,'Asset Returns'!$F$1:$N$109,ROW(),0)</f>
        <v>2.3167565408428237E-2</v>
      </c>
      <c r="S96" s="154">
        <f>HLOOKUP(S$1,'Asset Returns'!$F$1:$N$109,ROW(),0)</f>
        <v>-8.6684408094191978E-3</v>
      </c>
      <c r="T96" s="154">
        <f>HLOOKUP(T$1,'Asset Returns'!$F$1:$N$109,ROW(),0)</f>
        <v>9.3892687070662451E-3</v>
      </c>
      <c r="U96" s="154">
        <f>HLOOKUP(U$1,'Asset Returns'!$F$1:$N$109,ROW(),0)</f>
        <v>3.6024157437931414E-2</v>
      </c>
      <c r="V96" s="273">
        <f>IF(IF(Equity!$J$10="no",AA96,AF96)=0,NA(),IF(Equity!$J$10="no",AA96,AF96))</f>
        <v>0.48932218255006521</v>
      </c>
      <c r="W96" s="273">
        <f>IF(IF(Equity!$J$10="no",AB96,AG96)=0,NA(),IF(Equity!$J$10="no",AB96,AG96))</f>
        <v>-1.0521654133323466</v>
      </c>
      <c r="X96" s="273">
        <f>IF(IF(Equity!$J$10="no",AC96,AH96)=0,NA(),IF(Equity!$J$10="no",AC96,AH96))</f>
        <v>0.84000677341223329</v>
      </c>
      <c r="Y96" s="273">
        <f>IF(IF(Equity!$J$10="no",AD96,AI96)=0,NA(),IF(Equity!$J$10="no",AD96,AI96))</f>
        <v>0.34842898651410742</v>
      </c>
      <c r="Z96" s="273">
        <f>IF(IF(Equity!$J$10="no",AE96,AJ96)=0,NA(),IF(Equity!$J$10="no",AE96,AJ96))</f>
        <v>0.14243786656955598</v>
      </c>
      <c r="AA96" s="274">
        <f ca="1">Equity!$R$34</f>
        <v>0.64097224418739052</v>
      </c>
      <c r="AB96" s="274">
        <f ca="1">Equity!$R$36</f>
        <v>-0.78557102570241866</v>
      </c>
      <c r="AC96" s="274">
        <f ca="1">Equity!$R$38</f>
        <v>0.9378377404978776</v>
      </c>
      <c r="AD96" s="274">
        <f ca="1">Equity!$R$40</f>
        <v>0.17519882647973573</v>
      </c>
      <c r="AE96" s="274">
        <f ca="1">Equity!$R$42</f>
        <v>7.3760094442444454E-2</v>
      </c>
      <c r="AF96" s="274">
        <f>INDEX(LINEST(Q37:Q96,'AC2'!$F37:$J96,1,1),1,1)</f>
        <v>0.48932218255006521</v>
      </c>
      <c r="AG96" s="274">
        <f>INDEX(LINEST(R37:R96,'AC2'!$F37:$J96,1,1),1,1)</f>
        <v>-1.0521654133323466</v>
      </c>
      <c r="AH96" s="274">
        <f>INDEX(LINEST(S37:S96,'AC2'!$F37:$J96,1,1),1,1)</f>
        <v>0.84000677341223329</v>
      </c>
      <c r="AI96" s="274">
        <f>INDEX(LINEST(T37:T96,'AC2'!$F37:$J96,1,1),1,1)</f>
        <v>0.34842898651410742</v>
      </c>
      <c r="AJ96" s="274">
        <f>INDEX(LINEST(U37:U96,'AC2'!$F37:$J96,1,1),1,1)</f>
        <v>0.14243786656955598</v>
      </c>
      <c r="AK96" s="154"/>
      <c r="AL96" s="421">
        <v>43069</v>
      </c>
      <c r="AM96" s="154">
        <f>HLOOKUP(AM$1,'Asset Returns'!$F$1:$ZS$109,ROW(),0)</f>
        <v>-1.0682182278034635E-2</v>
      </c>
      <c r="AN96" s="154">
        <f>HLOOKUP(AN$1,'Asset Returns'!$F$1:$ZS$109,ROW(),0)</f>
        <v>3.329971395975595E-2</v>
      </c>
      <c r="AO96" s="273">
        <f ca="1">IF(IF(Bonds!$J$10="no",AQ96,AS96)=0,NA(),IF(Bonds!$J$10="no",AQ96,AS96))</f>
        <v>-0.12498736259259137</v>
      </c>
      <c r="AP96" s="273">
        <f ca="1">IF(IF(Bonds!$J$10="no",AR96,AT96)=0,NA(),IF(Bonds!$J$10="no",AR96,AT96))</f>
        <v>0.19970923689173462</v>
      </c>
      <c r="AQ96" s="273">
        <f ca="1">Bonds!$P$32</f>
        <v>-0.12498736259259137</v>
      </c>
      <c r="AR96" s="273">
        <f ca="1">Bonds!$P$34</f>
        <v>0.19970923689173462</v>
      </c>
      <c r="AS96" s="274">
        <f>INDEX(LINEST(AM37:AM96,'AC2'!$F37:$J96,1,1),1,1)</f>
        <v>0.17556127392906867</v>
      </c>
      <c r="AT96" s="274">
        <f>INDEX(LINEST(AN37:AN96,'AC2'!$F37:$J96,1,1),1,1)</f>
        <v>0.44573620346864651</v>
      </c>
      <c r="AU96" s="154"/>
      <c r="AV96" s="421">
        <v>43069</v>
      </c>
      <c r="AW96" s="154">
        <f>HLOOKUP(AW$1,'Asset Returns'!$F$1:$ZS$109,ROW(),0)</f>
        <v>-2.7538699999999999E-2</v>
      </c>
      <c r="AX96" s="154">
        <f>HLOOKUP(AX$1,'Asset Returns'!$F$1:$ZS$109,ROW(),0)</f>
        <v>2.1700400000000002E-2</v>
      </c>
      <c r="AY96" s="154">
        <f>HLOOKUP(AY$1,'Asset Returns'!$F$1:$ZS$109,ROW(),0)</f>
        <v>1.7715939999999999E-2</v>
      </c>
      <c r="AZ96" s="154">
        <f>HLOOKUP(AZ$1,'Asset Returns'!$F$1:$ZS$109,ROW(),0)</f>
        <v>-4.6288000000000004E-4</v>
      </c>
      <c r="BA96" s="154">
        <f>HLOOKUP(BA$1,'Asset Returns'!$F$1:$ZS$109,ROW(),0)</f>
        <v>-4.2667299999999998E-2</v>
      </c>
      <c r="BB96" s="273">
        <f>IF(IF(Funds!$J$10="no",BG96,BL96)=0,NA(),IF(Funds!$J$10="no",BG96,BL96))</f>
        <v>3.6950865442821423</v>
      </c>
      <c r="BC96" s="273">
        <f>IF(IF(Funds!$J$10="no",BH96,BM96)=0,NA(),IF(Funds!$J$10="no",BH96,BM96))</f>
        <v>2.6617134157648725E-2</v>
      </c>
      <c r="BD96" s="273">
        <f>IF(IF(Funds!$J$10="no",BI96,BN96)=0,NA(),IF(Funds!$J$10="no",BI96,BN96))</f>
        <v>-0.22394056692563363</v>
      </c>
      <c r="BE96" s="273">
        <f>IF(IF(Funds!$J$10="no",BJ96,BO96)=0,NA(),IF(Funds!$J$10="no",BJ96,BO96))</f>
        <v>-0.16569056523565362</v>
      </c>
      <c r="BF96" s="273">
        <f>IF(IF(Funds!$J$10="no",BK96,BP96)=0,NA(),IF(Funds!$J$10="no",BK96,BP96))</f>
        <v>-1.5049359792042005</v>
      </c>
      <c r="BG96" s="274">
        <f ca="1">Funds!$R$34</f>
        <v>2.5919346055080732</v>
      </c>
      <c r="BH96" s="274">
        <f ca="1">Funds!$R$36</f>
        <v>1.3378677483181089E-2</v>
      </c>
      <c r="BI96" s="274">
        <f ca="1">Funds!$R$38</f>
        <v>-0.15972963753204919</v>
      </c>
      <c r="BJ96" s="274">
        <f ca="1">Funds!$R$40</f>
        <v>-0.16887551350866659</v>
      </c>
      <c r="BK96" s="274">
        <f ca="1">Funds!$R$42</f>
        <v>-1.9222891726906419</v>
      </c>
      <c r="BL96" s="274">
        <f>INDEX(LINEST(AW37:AW96,'AC2'!$F37:$J96,1,1),1,1)</f>
        <v>3.6950865442821423</v>
      </c>
      <c r="BM96" s="274">
        <f>INDEX(LINEST(AX37:AX96,'AC2'!$F37:$J96,1,1),1,1)</f>
        <v>2.6617134157648725E-2</v>
      </c>
      <c r="BN96" s="274">
        <f>INDEX(LINEST(AY37:AY96,'AC2'!$F37:$J96,1,1),1,1)</f>
        <v>-0.22394056692563363</v>
      </c>
      <c r="BO96" s="274">
        <f>INDEX(LINEST(AZ37:AZ96,'AC2'!$F37:$J96,1,1),1,1)</f>
        <v>-0.16569056523565362</v>
      </c>
      <c r="BP96" s="274">
        <f>INDEX(LINEST(BA37:BA96,'AC2'!$F37:$J96,1,1),1,1)</f>
        <v>-1.5049359792042005</v>
      </c>
      <c r="BR96" s="154"/>
      <c r="BT96" s="154"/>
      <c r="CG96" s="218"/>
      <c r="CH96" s="154"/>
      <c r="CJ96" s="154"/>
      <c r="CL96" s="154"/>
      <c r="CN96" s="154"/>
      <c r="CP96" s="154"/>
      <c r="CR96" s="154"/>
      <c r="CT96" s="154"/>
    </row>
    <row r="97" spans="6:98">
      <c r="F97" s="421">
        <v>43100</v>
      </c>
      <c r="G97" s="272">
        <f>BMG!F97</f>
        <v>9.2837000000000006E-3</v>
      </c>
      <c r="H97" s="272" t="e">
        <f>IF('Carbon Risk Factor BMG'!$G$10="yes",AVERAGE(AC!$G61:$G96),NA())</f>
        <v>#N/A</v>
      </c>
      <c r="I97" s="272" t="e">
        <f>IF('Carbon Risk Factor BMG'!$G$11="yes",MIN(AC!$G61:$G96),NA())</f>
        <v>#N/A</v>
      </c>
      <c r="J97" s="272" t="e">
        <f>IF('Carbon Risk Factor BMG'!$G$12="yes",MAX(AC!$G61:$G96),NA())</f>
        <v>#N/A</v>
      </c>
      <c r="K97" s="272" t="e">
        <f>IF('Carbon Risk Factor BMG'!$G$13="yes",_xlfn.STDEV.S(AC!$G61:$G96),NA())</f>
        <v>#N/A</v>
      </c>
      <c r="L97" s="272" t="e">
        <f>IF('Carbon Risk Factor BMG'!$G$14="yes",_xlfn.PERCENTILE.INC(AC!$G61:$G96,'Carbon Risk Factor BMG'!$H$14),NA())</f>
        <v>#N/A</v>
      </c>
      <c r="M97" s="272" t="e">
        <f>IF('Carbon Risk Factor BMG'!$G$15="yes",_xlfn.PERCENTILE.INC(AC!$G61:$G96,'Carbon Risk Factor BMG'!$H$15),NA())</f>
        <v>#N/A</v>
      </c>
      <c r="N97" s="272">
        <f t="shared" si="26"/>
        <v>-0.20454043047122394</v>
      </c>
      <c r="P97" s="421">
        <v>43100</v>
      </c>
      <c r="Q97" s="154">
        <f>HLOOKUP(Q$1,'Asset Returns'!$F$1:$N$109,ROW(),0)</f>
        <v>7.9497907949790836E-2</v>
      </c>
      <c r="R97" s="154">
        <f>HLOOKUP(R$1,'Asset Returns'!$F$1:$N$109,ROW(),0)</f>
        <v>1.7177435096623173E-2</v>
      </c>
      <c r="S97" s="154">
        <f>HLOOKUP(S$1,'Asset Returns'!$F$1:$N$109,ROW(),0)</f>
        <v>6.7987273362174472E-2</v>
      </c>
      <c r="T97" s="154">
        <f>HLOOKUP(T$1,'Asset Returns'!$F$1:$N$109,ROW(),0)</f>
        <v>-3.5726857452672567E-3</v>
      </c>
      <c r="U97" s="154">
        <f>HLOOKUP(U$1,'Asset Returns'!$F$1:$N$109,ROW(),0)</f>
        <v>-3.4330657035582912E-2</v>
      </c>
      <c r="V97" s="273">
        <f>IF(IF(Equity!$J$10="no",AA97,AF97)=0,NA(),IF(Equity!$J$10="no",AA97,AF97))</f>
        <v>0.60270255295123587</v>
      </c>
      <c r="W97" s="273">
        <f>IF(IF(Equity!$J$10="no",AB97,AG97)=0,NA(),IF(Equity!$J$10="no",AB97,AG97))</f>
        <v>-1.0152243044167082</v>
      </c>
      <c r="X97" s="273">
        <f>IF(IF(Equity!$J$10="no",AC97,AH97)=0,NA(),IF(Equity!$J$10="no",AC97,AH97))</f>
        <v>0.83390820384198527</v>
      </c>
      <c r="Y97" s="273">
        <f>IF(IF(Equity!$J$10="no",AD97,AI97)=0,NA(),IF(Equity!$J$10="no",AD97,AI97))</f>
        <v>0.33042519039892859</v>
      </c>
      <c r="Z97" s="273">
        <f>IF(IF(Equity!$J$10="no",AE97,AJ97)=0,NA(),IF(Equity!$J$10="no",AE97,AJ97))</f>
        <v>0.1708597477672511</v>
      </c>
      <c r="AA97" s="274">
        <f ca="1">Equity!$R$34</f>
        <v>0.64097224418739052</v>
      </c>
      <c r="AB97" s="274">
        <f ca="1">Equity!$R$36</f>
        <v>-0.78557102570241866</v>
      </c>
      <c r="AC97" s="274">
        <f ca="1">Equity!$R$38</f>
        <v>0.9378377404978776</v>
      </c>
      <c r="AD97" s="274">
        <f ca="1">Equity!$R$40</f>
        <v>0.17519882647973573</v>
      </c>
      <c r="AE97" s="274">
        <f ca="1">Equity!$R$42</f>
        <v>7.3760094442444454E-2</v>
      </c>
      <c r="AF97" s="274">
        <f>INDEX(LINEST(Q38:Q97,'AC2'!$F38:$J97,1,1),1,1)</f>
        <v>0.60270255295123587</v>
      </c>
      <c r="AG97" s="274">
        <f>INDEX(LINEST(R38:R97,'AC2'!$F38:$J97,1,1),1,1)</f>
        <v>-1.0152243044167082</v>
      </c>
      <c r="AH97" s="274">
        <f>INDEX(LINEST(S38:S97,'AC2'!$F38:$J97,1,1),1,1)</f>
        <v>0.83390820384198527</v>
      </c>
      <c r="AI97" s="274">
        <f>INDEX(LINEST(T38:T97,'AC2'!$F38:$J97,1,1),1,1)</f>
        <v>0.33042519039892859</v>
      </c>
      <c r="AJ97" s="274">
        <f>INDEX(LINEST(U38:U97,'AC2'!$F38:$J97,1,1),1,1)</f>
        <v>0.1708597477672511</v>
      </c>
      <c r="AK97" s="154"/>
      <c r="AL97" s="421">
        <v>43100</v>
      </c>
      <c r="AM97" s="154">
        <f>HLOOKUP(AM$1,'Asset Returns'!$F$1:$ZS$109,ROW(),0)</f>
        <v>4.4861650970218214E-4</v>
      </c>
      <c r="AN97" s="154">
        <f>HLOOKUP(AN$1,'Asset Returns'!$F$1:$ZS$109,ROW(),0)</f>
        <v>1.5125210016801338E-2</v>
      </c>
      <c r="AO97" s="273">
        <f ca="1">IF(IF(Bonds!$J$10="no",AQ97,AS97)=0,NA(),IF(Bonds!$J$10="no",AQ97,AS97))</f>
        <v>-0.12498736259259137</v>
      </c>
      <c r="AP97" s="273">
        <f ca="1">IF(IF(Bonds!$J$10="no",AR97,AT97)=0,NA(),IF(Bonds!$J$10="no",AR97,AT97))</f>
        <v>0.19970923689173462</v>
      </c>
      <c r="AQ97" s="273">
        <f ca="1">Bonds!$P$32</f>
        <v>-0.12498736259259137</v>
      </c>
      <c r="AR97" s="273">
        <f ca="1">Bonds!$P$34</f>
        <v>0.19970923689173462</v>
      </c>
      <c r="AS97" s="274">
        <f>INDEX(LINEST(AM38:AM97,'AC2'!$F38:$J97,1,1),1,1)</f>
        <v>0.17981039404450602</v>
      </c>
      <c r="AT97" s="274">
        <f>INDEX(LINEST(AN38:AN97,'AC2'!$F38:$J97,1,1),1,1)</f>
        <v>0.45511126608367014</v>
      </c>
      <c r="AU97" s="154"/>
      <c r="AV97" s="421">
        <v>43100</v>
      </c>
      <c r="AW97" s="154">
        <f>HLOOKUP(AW$1,'Asset Returns'!$F$1:$ZS$109,ROW(),0)</f>
        <v>7.7088900000000002E-2</v>
      </c>
      <c r="AX97" s="154">
        <f>HLOOKUP(AX$1,'Asset Returns'!$F$1:$ZS$109,ROW(),0)</f>
        <v>1.3600399999999999E-2</v>
      </c>
      <c r="AY97" s="154">
        <f>HLOOKUP(AY$1,'Asset Returns'!$F$1:$ZS$109,ROW(),0)</f>
        <v>1.413118E-2</v>
      </c>
      <c r="AZ97" s="154">
        <f>HLOOKUP(AZ$1,'Asset Returns'!$F$1:$ZS$109,ROW(),0)</f>
        <v>1.0799240000000002E-2</v>
      </c>
      <c r="BA97" s="154">
        <f>HLOOKUP(BA$1,'Asset Returns'!$F$1:$ZS$109,ROW(),0)</f>
        <v>-9.7418400000000002E-2</v>
      </c>
      <c r="BB97" s="273">
        <f>IF(IF(Funds!$J$10="no",BG97,BL97)=0,NA(),IF(Funds!$J$10="no",BG97,BL97))</f>
        <v>3.6948504968025162</v>
      </c>
      <c r="BC97" s="273">
        <f>IF(IF(Funds!$J$10="no",BH97,BM97)=0,NA(),IF(Funds!$J$10="no",BH97,BM97))</f>
        <v>2.6945679752814641E-2</v>
      </c>
      <c r="BD97" s="273">
        <f>IF(IF(Funds!$J$10="no",BI97,BN97)=0,NA(),IF(Funds!$J$10="no",BI97,BN97))</f>
        <v>-0.22129618958904457</v>
      </c>
      <c r="BE97" s="273">
        <f>IF(IF(Funds!$J$10="no",BJ97,BO97)=0,NA(),IF(Funds!$J$10="no",BJ97,BO97))</f>
        <v>-0.17075704098143177</v>
      </c>
      <c r="BF97" s="273">
        <f>IF(IF(Funds!$J$10="no",BK97,BP97)=0,NA(),IF(Funds!$J$10="no",BK97,BP97))</f>
        <v>-1.4549572306475067</v>
      </c>
      <c r="BG97" s="274">
        <f ca="1">Funds!$R$34</f>
        <v>2.5919346055080732</v>
      </c>
      <c r="BH97" s="274">
        <f ca="1">Funds!$R$36</f>
        <v>1.3378677483181089E-2</v>
      </c>
      <c r="BI97" s="274">
        <f ca="1">Funds!$R$38</f>
        <v>-0.15972963753204919</v>
      </c>
      <c r="BJ97" s="274">
        <f ca="1">Funds!$R$40</f>
        <v>-0.16887551350866659</v>
      </c>
      <c r="BK97" s="274">
        <f ca="1">Funds!$R$42</f>
        <v>-1.9222891726906419</v>
      </c>
      <c r="BL97" s="274">
        <f>INDEX(LINEST(AW38:AW97,'AC2'!$F38:$J97,1,1),1,1)</f>
        <v>3.6948504968025162</v>
      </c>
      <c r="BM97" s="274">
        <f>INDEX(LINEST(AX38:AX97,'AC2'!$F38:$J97,1,1),1,1)</f>
        <v>2.6945679752814641E-2</v>
      </c>
      <c r="BN97" s="274">
        <f>INDEX(LINEST(AY38:AY97,'AC2'!$F38:$J97,1,1),1,1)</f>
        <v>-0.22129618958904457</v>
      </c>
      <c r="BO97" s="274">
        <f>INDEX(LINEST(AZ38:AZ97,'AC2'!$F38:$J97,1,1),1,1)</f>
        <v>-0.17075704098143177</v>
      </c>
      <c r="BP97" s="274">
        <f>INDEX(LINEST(BA38:BA97,'AC2'!$F38:$J97,1,1),1,1)</f>
        <v>-1.4549572306475067</v>
      </c>
      <c r="BR97" s="154"/>
      <c r="BT97" s="154"/>
      <c r="CG97" s="218"/>
      <c r="CH97" s="154"/>
      <c r="CJ97" s="154"/>
      <c r="CL97" s="154"/>
      <c r="CN97" s="154"/>
      <c r="CP97" s="154"/>
      <c r="CR97" s="154"/>
      <c r="CT97" s="154"/>
    </row>
    <row r="98" spans="6:98">
      <c r="F98" s="421">
        <v>43131</v>
      </c>
      <c r="G98" s="272">
        <f>BMG!F98</f>
        <v>-4.5807E-3</v>
      </c>
      <c r="H98" s="272" t="e">
        <f>IF('Carbon Risk Factor BMG'!$G$10="yes",AVERAGE(AC!$G62:$G97),NA())</f>
        <v>#N/A</v>
      </c>
      <c r="I98" s="272" t="e">
        <f>IF('Carbon Risk Factor BMG'!$G$11="yes",MIN(AC!$G62:$G97),NA())</f>
        <v>#N/A</v>
      </c>
      <c r="J98" s="272" t="e">
        <f>IF('Carbon Risk Factor BMG'!$G$12="yes",MAX(AC!$G62:$G97),NA())</f>
        <v>#N/A</v>
      </c>
      <c r="K98" s="272" t="e">
        <f>IF('Carbon Risk Factor BMG'!$G$13="yes",_xlfn.STDEV.S(AC!$G62:$G97),NA())</f>
        <v>#N/A</v>
      </c>
      <c r="L98" s="272" t="e">
        <f>IF('Carbon Risk Factor BMG'!$G$14="yes",_xlfn.PERCENTILE.INC(AC!$G62:$G97,'Carbon Risk Factor BMG'!$H$14),NA())</f>
        <v>#N/A</v>
      </c>
      <c r="M98" s="272" t="e">
        <f>IF('Carbon Risk Factor BMG'!$G$15="yes",_xlfn.PERCENTILE.INC(AC!$G62:$G97,'Carbon Risk Factor BMG'!$H$15),NA())</f>
        <v>#N/A</v>
      </c>
      <c r="N98" s="272">
        <f t="shared" si="26"/>
        <v>-0.20818419212136441</v>
      </c>
      <c r="P98" s="421">
        <v>43131</v>
      </c>
      <c r="Q98" s="154">
        <f>HLOOKUP(Q$1,'Asset Returns'!$F$1:$N$109,ROW(),0)</f>
        <v>-7.1705426356589053E-2</v>
      </c>
      <c r="R98" s="154">
        <f>HLOOKUP(R$1,'Asset Returns'!$F$1:$N$109,ROW(),0)</f>
        <v>7.0236039147956397E-2</v>
      </c>
      <c r="S98" s="154">
        <f>HLOOKUP(S$1,'Asset Returns'!$F$1:$N$109,ROW(),0)</f>
        <v>7.7876797971709877E-3</v>
      </c>
      <c r="T98" s="154">
        <f>HLOOKUP(T$1,'Asset Returns'!$F$1:$N$109,ROW(),0)</f>
        <v>6.7007755715271955E-2</v>
      </c>
      <c r="U98" s="154">
        <f>HLOOKUP(U$1,'Asset Returns'!$F$1:$N$109,ROW(),0)</f>
        <v>0.13992235422960264</v>
      </c>
      <c r="V98" s="273">
        <f>IF(IF(Equity!$J$10="no",AA98,AF98)=0,NA(),IF(Equity!$J$10="no",AA98,AF98))</f>
        <v>0.16243860289920736</v>
      </c>
      <c r="W98" s="273">
        <f>IF(IF(Equity!$J$10="no",AB98,AG98)=0,NA(),IF(Equity!$J$10="no",AB98,AG98))</f>
        <v>-1.1146109906007726</v>
      </c>
      <c r="X98" s="273">
        <f>IF(IF(Equity!$J$10="no",AC98,AH98)=0,NA(),IF(Equity!$J$10="no",AC98,AH98))</f>
        <v>0.82740327158691096</v>
      </c>
      <c r="Y98" s="273">
        <f>IF(IF(Equity!$J$10="no",AD98,AI98)=0,NA(),IF(Equity!$J$10="no",AD98,AI98))</f>
        <v>0.42064017230731787</v>
      </c>
      <c r="Z98" s="273">
        <f>IF(IF(Equity!$J$10="no",AE98,AJ98)=0,NA(),IF(Equity!$J$10="no",AE98,AJ98))</f>
        <v>6.3717736047039342E-2</v>
      </c>
      <c r="AA98" s="274">
        <f ca="1">Equity!$R$34</f>
        <v>0.64097224418739052</v>
      </c>
      <c r="AB98" s="274">
        <f ca="1">Equity!$R$36</f>
        <v>-0.78557102570241866</v>
      </c>
      <c r="AC98" s="274">
        <f ca="1">Equity!$R$38</f>
        <v>0.9378377404978776</v>
      </c>
      <c r="AD98" s="274">
        <f ca="1">Equity!$R$40</f>
        <v>0.17519882647973573</v>
      </c>
      <c r="AE98" s="274">
        <f ca="1">Equity!$R$42</f>
        <v>7.3760094442444454E-2</v>
      </c>
      <c r="AF98" s="274">
        <f>INDEX(LINEST(Q39:Q98,'AC2'!$F39:$J98,1,1),1,1)</f>
        <v>0.16243860289920736</v>
      </c>
      <c r="AG98" s="274">
        <f>INDEX(LINEST(R39:R98,'AC2'!$F39:$J98,1,1),1,1)</f>
        <v>-1.1146109906007726</v>
      </c>
      <c r="AH98" s="274">
        <f>INDEX(LINEST(S39:S98,'AC2'!$F39:$J98,1,1),1,1)</f>
        <v>0.82740327158691096</v>
      </c>
      <c r="AI98" s="274">
        <f>INDEX(LINEST(T39:T98,'AC2'!$F39:$J98,1,1),1,1)</f>
        <v>0.42064017230731787</v>
      </c>
      <c r="AJ98" s="274">
        <f>INDEX(LINEST(U39:U98,'AC2'!$F39:$J98,1,1),1,1)</f>
        <v>6.3717736047039342E-2</v>
      </c>
      <c r="AK98" s="154"/>
      <c r="AL98" s="421">
        <v>43131</v>
      </c>
      <c r="AM98" s="154">
        <f>HLOOKUP(AM$1,'Asset Returns'!$F$1:$ZS$109,ROW(),0)</f>
        <v>-1.8213034144064166E-2</v>
      </c>
      <c r="AN98" s="154">
        <f>HLOOKUP(AN$1,'Asset Returns'!$F$1:$ZS$109,ROW(),0)</f>
        <v>-2.457430416809514E-2</v>
      </c>
      <c r="AO98" s="273">
        <f ca="1">IF(IF(Bonds!$J$10="no",AQ98,AS98)=0,NA(),IF(Bonds!$J$10="no",AQ98,AS98))</f>
        <v>-0.12498736259259137</v>
      </c>
      <c r="AP98" s="273">
        <f ca="1">IF(IF(Bonds!$J$10="no",AR98,AT98)=0,NA(),IF(Bonds!$J$10="no",AR98,AT98))</f>
        <v>0.19970923689173462</v>
      </c>
      <c r="AQ98" s="273">
        <f ca="1">Bonds!$P$32</f>
        <v>-0.12498736259259137</v>
      </c>
      <c r="AR98" s="273">
        <f ca="1">Bonds!$P$34</f>
        <v>0.19970923689173462</v>
      </c>
      <c r="AS98" s="274">
        <f>INDEX(LINEST(AM39:AM98,'AC2'!$F39:$J98,1,1),1,1)</f>
        <v>0.15619703220904232</v>
      </c>
      <c r="AT98" s="274">
        <f>INDEX(LINEST(AN39:AN98,'AC2'!$F39:$J98,1,1),1,1)</f>
        <v>0.41947819401804853</v>
      </c>
      <c r="AU98" s="154"/>
      <c r="AV98" s="421">
        <v>43131</v>
      </c>
      <c r="AW98" s="154">
        <f>HLOOKUP(AW$1,'Asset Returns'!$F$1:$ZS$109,ROW(),0)</f>
        <v>1.49254E-2</v>
      </c>
      <c r="AX98" s="154">
        <f>HLOOKUP(AX$1,'Asset Returns'!$F$1:$ZS$109,ROW(),0)</f>
        <v>5.2538600000000005E-2</v>
      </c>
      <c r="AY98" s="154">
        <f>HLOOKUP(AY$1,'Asset Returns'!$F$1:$ZS$109,ROW(),0)</f>
        <v>3.439963E-2</v>
      </c>
      <c r="AZ98" s="154">
        <f>HLOOKUP(AZ$1,'Asset Returns'!$F$1:$ZS$109,ROW(),0)</f>
        <v>6.99713E-2</v>
      </c>
      <c r="BA98" s="154">
        <f>HLOOKUP(BA$1,'Asset Returns'!$F$1:$ZS$109,ROW(),0)</f>
        <v>-6.7727999999999997E-2</v>
      </c>
      <c r="BB98" s="273">
        <f>IF(IF(Funds!$J$10="no",BG98,BL98)=0,NA(),IF(Funds!$J$10="no",BG98,BL98))</f>
        <v>3.7756070623697719</v>
      </c>
      <c r="BC98" s="273">
        <f>IF(IF(Funds!$J$10="no",BH98,BM98)=0,NA(),IF(Funds!$J$10="no",BH98,BM98))</f>
        <v>2.2418116515665516E-2</v>
      </c>
      <c r="BD98" s="273">
        <f>IF(IF(Funds!$J$10="no",BI98,BN98)=0,NA(),IF(Funds!$J$10="no",BI98,BN98))</f>
        <v>-0.25528207882608683</v>
      </c>
      <c r="BE98" s="273">
        <f>IF(IF(Funds!$J$10="no",BJ98,BO98)=0,NA(),IF(Funds!$J$10="no",BJ98,BO98))</f>
        <v>-0.12475014641411812</v>
      </c>
      <c r="BF98" s="273">
        <f>IF(IF(Funds!$J$10="no",BK98,BP98)=0,NA(),IF(Funds!$J$10="no",BK98,BP98))</f>
        <v>-1.5972617181947346</v>
      </c>
      <c r="BG98" s="274">
        <f ca="1">Funds!$R$34</f>
        <v>2.5919346055080732</v>
      </c>
      <c r="BH98" s="274">
        <f ca="1">Funds!$R$36</f>
        <v>1.3378677483181089E-2</v>
      </c>
      <c r="BI98" s="274">
        <f ca="1">Funds!$R$38</f>
        <v>-0.15972963753204919</v>
      </c>
      <c r="BJ98" s="274">
        <f ca="1">Funds!$R$40</f>
        <v>-0.16887551350866659</v>
      </c>
      <c r="BK98" s="274">
        <f ca="1">Funds!$R$42</f>
        <v>-1.9222891726906419</v>
      </c>
      <c r="BL98" s="274">
        <f>INDEX(LINEST(AW39:AW98,'AC2'!$F39:$J98,1,1),1,1)</f>
        <v>3.7756070623697719</v>
      </c>
      <c r="BM98" s="274">
        <f>INDEX(LINEST(AX39:AX98,'AC2'!$F39:$J98,1,1),1,1)</f>
        <v>2.2418116515665516E-2</v>
      </c>
      <c r="BN98" s="274">
        <f>INDEX(LINEST(AY39:AY98,'AC2'!$F39:$J98,1,1),1,1)</f>
        <v>-0.25528207882608683</v>
      </c>
      <c r="BO98" s="274">
        <f>INDEX(LINEST(AZ39:AZ98,'AC2'!$F39:$J98,1,1),1,1)</f>
        <v>-0.12475014641411812</v>
      </c>
      <c r="BP98" s="274">
        <f>INDEX(LINEST(BA39:BA98,'AC2'!$F39:$J98,1,1),1,1)</f>
        <v>-1.5972617181947346</v>
      </c>
      <c r="BR98" s="154"/>
      <c r="BT98" s="154"/>
      <c r="CG98" s="218"/>
      <c r="CH98" s="154"/>
      <c r="CJ98" s="154"/>
      <c r="CL98" s="154"/>
      <c r="CN98" s="154"/>
      <c r="CP98" s="154"/>
      <c r="CR98" s="154"/>
      <c r="CT98" s="154"/>
    </row>
    <row r="99" spans="6:98">
      <c r="F99" s="421">
        <v>43159</v>
      </c>
      <c r="G99" s="272">
        <f>BMG!F99</f>
        <v>-3.333E-3</v>
      </c>
      <c r="H99" s="272" t="e">
        <f>IF('Carbon Risk Factor BMG'!$G$10="yes",AVERAGE(AC!$G63:$G98),NA())</f>
        <v>#N/A</v>
      </c>
      <c r="I99" s="272" t="e">
        <f>IF('Carbon Risk Factor BMG'!$G$11="yes",MIN(AC!$G63:$G98),NA())</f>
        <v>#N/A</v>
      </c>
      <c r="J99" s="272" t="e">
        <f>IF('Carbon Risk Factor BMG'!$G$12="yes",MAX(AC!$G63:$G98),NA())</f>
        <v>#N/A</v>
      </c>
      <c r="K99" s="272" t="e">
        <f>IF('Carbon Risk Factor BMG'!$G$13="yes",_xlfn.STDEV.S(AC!$G63:$G98),NA())</f>
        <v>#N/A</v>
      </c>
      <c r="L99" s="272" t="e">
        <f>IF('Carbon Risk Factor BMG'!$G$14="yes",_xlfn.PERCENTILE.INC(AC!$G63:$G98,'Carbon Risk Factor BMG'!$H$14),NA())</f>
        <v>#N/A</v>
      </c>
      <c r="M99" s="272" t="e">
        <f>IF('Carbon Risk Factor BMG'!$G$15="yes",_xlfn.PERCENTILE.INC(AC!$G63:$G98,'Carbon Risk Factor BMG'!$H$15),NA())</f>
        <v>#N/A</v>
      </c>
      <c r="N99" s="272">
        <f t="shared" ref="N99:N109" si="29">(1+N98)*(1+G99)-1</f>
        <v>-0.21082331420902389</v>
      </c>
      <c r="P99" s="421">
        <v>43159</v>
      </c>
      <c r="Q99" s="154">
        <f>HLOOKUP(Q$1,'Asset Returns'!$F$1:$N$109,ROW(),0)</f>
        <v>-9.6033402922755751E-2</v>
      </c>
      <c r="R99" s="154">
        <f>HLOOKUP(R$1,'Asset Returns'!$F$1:$N$109,ROW(),0)</f>
        <v>-1.0399856553702791E-2</v>
      </c>
      <c r="S99" s="154">
        <f>HLOOKUP(S$1,'Asset Returns'!$F$1:$N$109,ROW(),0)</f>
        <v>-6.723695649277206E-2</v>
      </c>
      <c r="T99" s="154">
        <f>HLOOKUP(T$1,'Asset Returns'!$F$1:$N$109,ROW(),0)</f>
        <v>-3.8402112858295312E-2</v>
      </c>
      <c r="U99" s="154">
        <f>HLOOKUP(U$1,'Asset Returns'!$F$1:$N$109,ROW(),0)</f>
        <v>4.6905633120877477E-2</v>
      </c>
      <c r="V99" s="273">
        <f>IF(IF(Equity!$J$10="no",AA99,AF99)=0,NA(),IF(Equity!$J$10="no",AA99,AF99))</f>
        <v>0.16895612797773721</v>
      </c>
      <c r="W99" s="273">
        <f>IF(IF(Equity!$J$10="no",AB99,AG99)=0,NA(),IF(Equity!$J$10="no",AB99,AG99))</f>
        <v>-1.0930275916406793</v>
      </c>
      <c r="X99" s="273">
        <f>IF(IF(Equity!$J$10="no",AC99,AH99)=0,NA(),IF(Equity!$J$10="no",AC99,AH99))</f>
        <v>0.82300985830488238</v>
      </c>
      <c r="Y99" s="273">
        <f>IF(IF(Equity!$J$10="no",AD99,AI99)=0,NA(),IF(Equity!$J$10="no",AD99,AI99))</f>
        <v>0.4236805213328016</v>
      </c>
      <c r="Z99" s="273">
        <f>IF(IF(Equity!$J$10="no",AE99,AJ99)=0,NA(),IF(Equity!$J$10="no",AE99,AJ99))</f>
        <v>0.10291036000972247</v>
      </c>
      <c r="AA99" s="274">
        <f ca="1">Equity!$R$34</f>
        <v>0.64097224418739052</v>
      </c>
      <c r="AB99" s="274">
        <f ca="1">Equity!$R$36</f>
        <v>-0.78557102570241866</v>
      </c>
      <c r="AC99" s="274">
        <f ca="1">Equity!$R$38</f>
        <v>0.9378377404978776</v>
      </c>
      <c r="AD99" s="274">
        <f ca="1">Equity!$R$40</f>
        <v>0.17519882647973573</v>
      </c>
      <c r="AE99" s="274">
        <f ca="1">Equity!$R$42</f>
        <v>7.3760094442444454E-2</v>
      </c>
      <c r="AF99" s="274">
        <f>INDEX(LINEST(Q40:Q99,'AC2'!$F40:$J99,1,1),1,1)</f>
        <v>0.16895612797773721</v>
      </c>
      <c r="AG99" s="274">
        <f>INDEX(LINEST(R40:R99,'AC2'!$F40:$J99,1,1),1,1)</f>
        <v>-1.0930275916406793</v>
      </c>
      <c r="AH99" s="274">
        <f>INDEX(LINEST(S40:S99,'AC2'!$F40:$J99,1,1),1,1)</f>
        <v>0.82300985830488238</v>
      </c>
      <c r="AI99" s="274">
        <f>INDEX(LINEST(T40:T99,'AC2'!$F40:$J99,1,1),1,1)</f>
        <v>0.4236805213328016</v>
      </c>
      <c r="AJ99" s="274">
        <f>INDEX(LINEST(U40:U99,'AC2'!$F40:$J99,1,1),1,1)</f>
        <v>0.10291036000972247</v>
      </c>
      <c r="AK99" s="154"/>
      <c r="AL99" s="421">
        <v>43159</v>
      </c>
      <c r="AM99" s="154">
        <f>HLOOKUP(AM$1,'Asset Returns'!$F$1:$ZS$109,ROW(),0)</f>
        <v>-9.4631500245572209E-3</v>
      </c>
      <c r="AN99" s="154">
        <f>HLOOKUP(AN$1,'Asset Returns'!$F$1:$ZS$109,ROW(),0)</f>
        <v>-1.0503989496010502E-2</v>
      </c>
      <c r="AO99" s="273">
        <f ca="1">IF(IF(Bonds!$J$10="no",AQ99,AS99)=0,NA(),IF(Bonds!$J$10="no",AQ99,AS99))</f>
        <v>-0.12498736259259137</v>
      </c>
      <c r="AP99" s="273">
        <f ca="1">IF(IF(Bonds!$J$10="no",AR99,AT99)=0,NA(),IF(Bonds!$J$10="no",AR99,AT99))</f>
        <v>0.19970923689173462</v>
      </c>
      <c r="AQ99" s="273">
        <f ca="1">Bonds!$P$32</f>
        <v>-0.12498736259259137</v>
      </c>
      <c r="AR99" s="273">
        <f ca="1">Bonds!$P$34</f>
        <v>0.19970923689173462</v>
      </c>
      <c r="AS99" s="274">
        <f>INDEX(LINEST(AM40:AM99,'AC2'!$F40:$J99,1,1),1,1)</f>
        <v>0.14025458888639367</v>
      </c>
      <c r="AT99" s="274">
        <f>INDEX(LINEST(AN40:AN99,'AC2'!$F40:$J99,1,1),1,1)</f>
        <v>0.39638960225905739</v>
      </c>
      <c r="AU99" s="154"/>
      <c r="AV99" s="421">
        <v>43159</v>
      </c>
      <c r="AW99" s="154">
        <f>HLOOKUP(AW$1,'Asset Returns'!$F$1:$ZS$109,ROW(),0)</f>
        <v>-0.1323529</v>
      </c>
      <c r="AX99" s="154">
        <f>HLOOKUP(AX$1,'Asset Returns'!$F$1:$ZS$109,ROW(),0)</f>
        <v>-4.1671800000000002E-2</v>
      </c>
      <c r="AY99" s="154">
        <f>HLOOKUP(AY$1,'Asset Returns'!$F$1:$ZS$109,ROW(),0)</f>
        <v>-4.6448570000000002E-2</v>
      </c>
      <c r="AZ99" s="154">
        <f>HLOOKUP(AZ$1,'Asset Returns'!$F$1:$ZS$109,ROW(),0)</f>
        <v>-5.0419390000000001E-2</v>
      </c>
      <c r="BA99" s="154">
        <f>HLOOKUP(BA$1,'Asset Returns'!$F$1:$ZS$109,ROW(),0)</f>
        <v>0.22836469999999998</v>
      </c>
      <c r="BB99" s="273">
        <f>IF(IF(Funds!$J$10="no",BG99,BL99)=0,NA(),IF(Funds!$J$10="no",BG99,BL99))</f>
        <v>3.6795465654384905</v>
      </c>
      <c r="BC99" s="273">
        <f>IF(IF(Funds!$J$10="no",BH99,BM99)=0,NA(),IF(Funds!$J$10="no",BH99,BM99))</f>
        <v>2.1731373136876952E-2</v>
      </c>
      <c r="BD99" s="273">
        <f>IF(IF(Funds!$J$10="no",BI99,BN99)=0,NA(),IF(Funds!$J$10="no",BI99,BN99))</f>
        <v>-0.24793633489936706</v>
      </c>
      <c r="BE99" s="273">
        <f>IF(IF(Funds!$J$10="no",BJ99,BO99)=0,NA(),IF(Funds!$J$10="no",BJ99,BO99))</f>
        <v>-0.13173374973456775</v>
      </c>
      <c r="BF99" s="273">
        <f>IF(IF(Funds!$J$10="no",BK99,BP99)=0,NA(),IF(Funds!$J$10="no",BK99,BP99))</f>
        <v>-1.5160479003137848</v>
      </c>
      <c r="BG99" s="274">
        <f ca="1">Funds!$R$34</f>
        <v>2.5919346055080732</v>
      </c>
      <c r="BH99" s="274">
        <f ca="1">Funds!$R$36</f>
        <v>1.3378677483181089E-2</v>
      </c>
      <c r="BI99" s="274">
        <f ca="1">Funds!$R$38</f>
        <v>-0.15972963753204919</v>
      </c>
      <c r="BJ99" s="274">
        <f ca="1">Funds!$R$40</f>
        <v>-0.16887551350866659</v>
      </c>
      <c r="BK99" s="274">
        <f ca="1">Funds!$R$42</f>
        <v>-1.9222891726906419</v>
      </c>
      <c r="BL99" s="274">
        <f>INDEX(LINEST(AW40:AW99,'AC2'!$F40:$J99,1,1),1,1)</f>
        <v>3.6795465654384905</v>
      </c>
      <c r="BM99" s="274">
        <f>INDEX(LINEST(AX40:AX99,'AC2'!$F40:$J99,1,1),1,1)</f>
        <v>2.1731373136876952E-2</v>
      </c>
      <c r="BN99" s="274">
        <f>INDEX(LINEST(AY40:AY99,'AC2'!$F40:$J99,1,1),1,1)</f>
        <v>-0.24793633489936706</v>
      </c>
      <c r="BO99" s="274">
        <f>INDEX(LINEST(AZ40:AZ99,'AC2'!$F40:$J99,1,1),1,1)</f>
        <v>-0.13173374973456775</v>
      </c>
      <c r="BP99" s="274">
        <f>INDEX(LINEST(BA40:BA99,'AC2'!$F40:$J99,1,1),1,1)</f>
        <v>-1.5160479003137848</v>
      </c>
      <c r="BR99" s="154"/>
      <c r="BT99" s="154"/>
      <c r="CG99" s="218"/>
      <c r="CH99" s="154"/>
      <c r="CJ99" s="154"/>
      <c r="CL99" s="154"/>
      <c r="CN99" s="154"/>
      <c r="CP99" s="154"/>
      <c r="CR99" s="154"/>
      <c r="CT99" s="154"/>
    </row>
    <row r="100" spans="6:98">
      <c r="F100" s="421">
        <v>43190</v>
      </c>
      <c r="G100" s="272">
        <f>BMG!F100</f>
        <v>1.2466400000000001E-2</v>
      </c>
      <c r="H100" s="272" t="e">
        <f>IF('Carbon Risk Factor BMG'!$G$10="yes",AVERAGE(AC!$G64:$G99),NA())</f>
        <v>#N/A</v>
      </c>
      <c r="I100" s="272" t="e">
        <f>IF('Carbon Risk Factor BMG'!$G$11="yes",MIN(AC!$G64:$G99),NA())</f>
        <v>#N/A</v>
      </c>
      <c r="J100" s="272" t="e">
        <f>IF('Carbon Risk Factor BMG'!$G$12="yes",MAX(AC!$G64:$G99),NA())</f>
        <v>#N/A</v>
      </c>
      <c r="K100" s="272" t="e">
        <f>IF('Carbon Risk Factor BMG'!$G$13="yes",_xlfn.STDEV.S(AC!$G64:$G99),NA())</f>
        <v>#N/A</v>
      </c>
      <c r="L100" s="272" t="e">
        <f>IF('Carbon Risk Factor BMG'!$G$14="yes",_xlfn.PERCENTILE.INC(AC!$G64:$G99,'Carbon Risk Factor BMG'!$H$14),NA())</f>
        <v>#N/A</v>
      </c>
      <c r="M100" s="272" t="e">
        <f>IF('Carbon Risk Factor BMG'!$G$15="yes",_xlfn.PERCENTILE.INC(AC!$G64:$G99,'Carbon Risk Factor BMG'!$H$15),NA())</f>
        <v>#N/A</v>
      </c>
      <c r="N100" s="272">
        <f t="shared" si="29"/>
        <v>-0.20098512197327922</v>
      </c>
      <c r="P100" s="421">
        <v>43190</v>
      </c>
      <c r="Q100" s="154">
        <f>HLOOKUP(Q$1,'Asset Returns'!$F$1:$N$109,ROW(),0)</f>
        <v>-0.11742760703499733</v>
      </c>
      <c r="R100" s="154">
        <f>HLOOKUP(R$1,'Asset Returns'!$F$1:$N$109,ROW(),0)</f>
        <v>-3.6963217974270712E-2</v>
      </c>
      <c r="S100" s="154">
        <f>HLOOKUP(S$1,'Asset Returns'!$F$1:$N$109,ROW(),0)</f>
        <v>2.6893246689100536E-2</v>
      </c>
      <c r="T100" s="154">
        <f>HLOOKUP(T$1,'Asset Returns'!$F$1:$N$109,ROW(),0)</f>
        <v>-1.5402820156640185E-2</v>
      </c>
      <c r="U100" s="154">
        <f>HLOOKUP(U$1,'Asset Returns'!$F$1:$N$109,ROW(),0)</f>
        <v>3.3233482313783869E-2</v>
      </c>
      <c r="V100" s="273">
        <f>IF(IF(Equity!$J$10="no",AA100,AF100)=0,NA(),IF(Equity!$J$10="no",AA100,AF100))</f>
        <v>0.11997954124864085</v>
      </c>
      <c r="W100" s="273">
        <f>IF(IF(Equity!$J$10="no",AB100,AG100)=0,NA(),IF(Equity!$J$10="no",AB100,AG100))</f>
        <v>-1.0921523818365106</v>
      </c>
      <c r="X100" s="273">
        <f>IF(IF(Equity!$J$10="no",AC100,AH100)=0,NA(),IF(Equity!$J$10="no",AC100,AH100))</f>
        <v>0.86523858930035424</v>
      </c>
      <c r="Y100" s="273">
        <f>IF(IF(Equity!$J$10="no",AD100,AI100)=0,NA(),IF(Equity!$J$10="no",AD100,AI100))</f>
        <v>0.42612684069100731</v>
      </c>
      <c r="Z100" s="273">
        <f>IF(IF(Equity!$J$10="no",AE100,AJ100)=0,NA(),IF(Equity!$J$10="no",AE100,AJ100))</f>
        <v>0.13696412689337834</v>
      </c>
      <c r="AA100" s="274">
        <f ca="1">Equity!$R$34</f>
        <v>0.64097224418739052</v>
      </c>
      <c r="AB100" s="274">
        <f ca="1">Equity!$R$36</f>
        <v>-0.78557102570241866</v>
      </c>
      <c r="AC100" s="274">
        <f ca="1">Equity!$R$38</f>
        <v>0.9378377404978776</v>
      </c>
      <c r="AD100" s="274">
        <f ca="1">Equity!$R$40</f>
        <v>0.17519882647973573</v>
      </c>
      <c r="AE100" s="274">
        <f ca="1">Equity!$R$42</f>
        <v>7.3760094442444454E-2</v>
      </c>
      <c r="AF100" s="274">
        <f>INDEX(LINEST(Q41:Q100,'AC2'!$F41:$J100,1,1),1,1)</f>
        <v>0.11997954124864085</v>
      </c>
      <c r="AG100" s="274">
        <f>INDEX(LINEST(R41:R100,'AC2'!$F41:$J100,1,1),1,1)</f>
        <v>-1.0921523818365106</v>
      </c>
      <c r="AH100" s="274">
        <f>INDEX(LINEST(S41:S100,'AC2'!$F41:$J100,1,1),1,1)</f>
        <v>0.86523858930035424</v>
      </c>
      <c r="AI100" s="274">
        <f>INDEX(LINEST(T41:T100,'AC2'!$F41:$J100,1,1),1,1)</f>
        <v>0.42612684069100731</v>
      </c>
      <c r="AJ100" s="274">
        <f>INDEX(LINEST(U41:U100,'AC2'!$F41:$J100,1,1),1,1)</f>
        <v>0.13696412689337834</v>
      </c>
      <c r="AK100" s="154"/>
      <c r="AL100" s="421">
        <v>43190</v>
      </c>
      <c r="AM100" s="154">
        <f>HLOOKUP(AM$1,'Asset Returns'!$F$1:$ZS$109,ROW(),0)</f>
        <v>1.4410869263128623E-2</v>
      </c>
      <c r="AN100" s="154">
        <f>HLOOKUP(AN$1,'Asset Returns'!$F$1:$ZS$109,ROW(),0)</f>
        <v>1.7495151577013424E-2</v>
      </c>
      <c r="AO100" s="273">
        <f ca="1">IF(IF(Bonds!$J$10="no",AQ100,AS100)=0,NA(),IF(Bonds!$J$10="no",AQ100,AS100))</f>
        <v>-0.12498736259259137</v>
      </c>
      <c r="AP100" s="273">
        <f ca="1">IF(IF(Bonds!$J$10="no",AR100,AT100)=0,NA(),IF(Bonds!$J$10="no",AR100,AT100))</f>
        <v>0.19970923689173462</v>
      </c>
      <c r="AQ100" s="273">
        <f ca="1">Bonds!$P$32</f>
        <v>-0.12498736259259137</v>
      </c>
      <c r="AR100" s="273">
        <f ca="1">Bonds!$P$34</f>
        <v>0.19970923689173462</v>
      </c>
      <c r="AS100" s="274">
        <f>INDEX(LINEST(AM41:AM100,'AC2'!$F41:$J100,1,1),1,1)</f>
        <v>0.14943729867874589</v>
      </c>
      <c r="AT100" s="274">
        <f>INDEX(LINEST(AN41:AN100,'AC2'!$F41:$J100,1,1),1,1)</f>
        <v>0.40191027706645099</v>
      </c>
      <c r="AU100" s="154"/>
      <c r="AV100" s="421">
        <v>43190</v>
      </c>
      <c r="AW100" s="154">
        <f>HLOOKUP(AW$1,'Asset Returns'!$F$1:$ZS$109,ROW(),0)</f>
        <v>4.1162200000000003E-2</v>
      </c>
      <c r="AX100" s="154">
        <f>HLOOKUP(AX$1,'Asset Returns'!$F$1:$ZS$109,ROW(),0)</f>
        <v>-2.2570800000000002E-2</v>
      </c>
      <c r="AY100" s="154">
        <f>HLOOKUP(AY$1,'Asset Returns'!$F$1:$ZS$109,ROW(),0)</f>
        <v>-1.3850979999999999E-2</v>
      </c>
      <c r="AZ100" s="154">
        <f>HLOOKUP(AZ$1,'Asset Returns'!$F$1:$ZS$109,ROW(),0)</f>
        <v>-2.0855470000000001E-2</v>
      </c>
      <c r="BA100" s="154">
        <f>HLOOKUP(BA$1,'Asset Returns'!$F$1:$ZS$109,ROW(),0)</f>
        <v>-4.7832199999999998E-2</v>
      </c>
      <c r="BB100" s="273">
        <f>IF(IF(Funds!$J$10="no",BG100,BL100)=0,NA(),IF(Funds!$J$10="no",BG100,BL100))</f>
        <v>3.666065458145316</v>
      </c>
      <c r="BC100" s="273">
        <f>IF(IF(Funds!$J$10="no",BH100,BM100)=0,NA(),IF(Funds!$J$10="no",BH100,BM100))</f>
        <v>1.9305781067470093E-2</v>
      </c>
      <c r="BD100" s="273">
        <f>IF(IF(Funds!$J$10="no",BI100,BN100)=0,NA(),IF(Funds!$J$10="no",BI100,BN100))</f>
        <v>-0.23858049454366562</v>
      </c>
      <c r="BE100" s="273">
        <f>IF(IF(Funds!$J$10="no",BJ100,BO100)=0,NA(),IF(Funds!$J$10="no",BJ100,BO100))</f>
        <v>-0.13088591857872578</v>
      </c>
      <c r="BF100" s="273">
        <f>IF(IF(Funds!$J$10="no",BK100,BP100)=0,NA(),IF(Funds!$J$10="no",BK100,BP100))</f>
        <v>-1.5736021668411928</v>
      </c>
      <c r="BG100" s="274">
        <f ca="1">Funds!$R$34</f>
        <v>2.5919346055080732</v>
      </c>
      <c r="BH100" s="274">
        <f ca="1">Funds!$R$36</f>
        <v>1.3378677483181089E-2</v>
      </c>
      <c r="BI100" s="274">
        <f ca="1">Funds!$R$38</f>
        <v>-0.15972963753204919</v>
      </c>
      <c r="BJ100" s="274">
        <f ca="1">Funds!$R$40</f>
        <v>-0.16887551350866659</v>
      </c>
      <c r="BK100" s="274">
        <f ca="1">Funds!$R$42</f>
        <v>-1.9222891726906419</v>
      </c>
      <c r="BL100" s="274">
        <f>INDEX(LINEST(AW41:AW100,'AC2'!$F41:$J100,1,1),1,1)</f>
        <v>3.666065458145316</v>
      </c>
      <c r="BM100" s="274">
        <f>INDEX(LINEST(AX41:AX100,'AC2'!$F41:$J100,1,1),1,1)</f>
        <v>1.9305781067470093E-2</v>
      </c>
      <c r="BN100" s="274">
        <f>INDEX(LINEST(AY41:AY100,'AC2'!$F41:$J100,1,1),1,1)</f>
        <v>-0.23858049454366562</v>
      </c>
      <c r="BO100" s="274">
        <f>INDEX(LINEST(AZ41:AZ100,'AC2'!$F41:$J100,1,1),1,1)</f>
        <v>-0.13088591857872578</v>
      </c>
      <c r="BP100" s="274">
        <f>INDEX(LINEST(BA41:BA100,'AC2'!$F41:$J100,1,1),1,1)</f>
        <v>-1.5736021668411928</v>
      </c>
      <c r="BR100" s="154"/>
      <c r="BT100" s="154"/>
      <c r="CG100" s="218"/>
      <c r="CH100" s="154"/>
      <c r="CJ100" s="154"/>
      <c r="CL100" s="154"/>
      <c r="CN100" s="154"/>
      <c r="CP100" s="154"/>
      <c r="CR100" s="154"/>
      <c r="CT100" s="154"/>
    </row>
    <row r="101" spans="6:98">
      <c r="F101" s="421">
        <v>43220</v>
      </c>
      <c r="G101" s="272">
        <f>BMG!F101</f>
        <v>1.2684300000000001E-2</v>
      </c>
      <c r="H101" s="272" t="e">
        <f>IF('Carbon Risk Factor BMG'!$G$10="yes",AVERAGE(AC!$G65:$G100),NA())</f>
        <v>#N/A</v>
      </c>
      <c r="I101" s="272" t="e">
        <f>IF('Carbon Risk Factor BMG'!$G$11="yes",MIN(AC!$G65:$G100),NA())</f>
        <v>#N/A</v>
      </c>
      <c r="J101" s="272" t="e">
        <f>IF('Carbon Risk Factor BMG'!$G$12="yes",MAX(AC!$G65:$G100),NA())</f>
        <v>#N/A</v>
      </c>
      <c r="K101" s="272" t="e">
        <f>IF('Carbon Risk Factor BMG'!$G$13="yes",_xlfn.STDEV.S(AC!$G65:$G100),NA())</f>
        <v>#N/A</v>
      </c>
      <c r="L101" s="272" t="e">
        <f>IF('Carbon Risk Factor BMG'!$G$14="yes",_xlfn.PERCENTILE.INC(AC!$G65:$G100,'Carbon Risk Factor BMG'!$H$14),NA())</f>
        <v>#N/A</v>
      </c>
      <c r="M101" s="272" t="e">
        <f>IF('Carbon Risk Factor BMG'!$G$15="yes",_xlfn.PERCENTILE.INC(AC!$G65:$G100,'Carbon Risk Factor BMG'!$H$15),NA())</f>
        <v>#N/A</v>
      </c>
      <c r="N101" s="272">
        <f t="shared" si="29"/>
        <v>-0.19085017755592482</v>
      </c>
      <c r="P101" s="421">
        <v>43220</v>
      </c>
      <c r="Q101" s="154">
        <f>HLOOKUP(Q$1,'Asset Returns'!$F$1:$N$109,ROW(),0)</f>
        <v>1.791465378421897E-2</v>
      </c>
      <c r="R101" s="154">
        <f>HLOOKUP(R$1,'Asset Returns'!$F$1:$N$109,ROW(),0)</f>
        <v>2.2577610536218318E-2</v>
      </c>
      <c r="S101" s="154">
        <f>HLOOKUP(S$1,'Asset Returns'!$F$1:$N$109,ROW(),0)</f>
        <v>0.10222149668375291</v>
      </c>
      <c r="T101" s="154">
        <f>HLOOKUP(T$1,'Asset Returns'!$F$1:$N$109,ROW(),0)</f>
        <v>-5.520340529525003E-2</v>
      </c>
      <c r="U101" s="154">
        <f>HLOOKUP(U$1,'Asset Returns'!$F$1:$N$109,ROW(),0)</f>
        <v>2.554581057746752E-2</v>
      </c>
      <c r="V101" s="273">
        <f>IF(IF(Equity!$J$10="no",AA101,AF101)=0,NA(),IF(Equity!$J$10="no",AA101,AF101))</f>
        <v>0.21776532109273686</v>
      </c>
      <c r="W101" s="273">
        <f>IF(IF(Equity!$J$10="no",AB101,AG101)=0,NA(),IF(Equity!$J$10="no",AB101,AG101))</f>
        <v>-0.99347946421446864</v>
      </c>
      <c r="X101" s="273">
        <f>IF(IF(Equity!$J$10="no",AC101,AH101)=0,NA(),IF(Equity!$J$10="no",AC101,AH101))</f>
        <v>0.91426839423235284</v>
      </c>
      <c r="Y101" s="273">
        <f>IF(IF(Equity!$J$10="no",AD101,AI101)=0,NA(),IF(Equity!$J$10="no",AD101,AI101))</f>
        <v>0.29407003981737012</v>
      </c>
      <c r="Z101" s="273">
        <f>IF(IF(Equity!$J$10="no",AE101,AJ101)=0,NA(),IF(Equity!$J$10="no",AE101,AJ101))</f>
        <v>0.1127902265589725</v>
      </c>
      <c r="AA101" s="274">
        <f ca="1">Equity!$R$34</f>
        <v>0.64097224418739052</v>
      </c>
      <c r="AB101" s="274">
        <f ca="1">Equity!$R$36</f>
        <v>-0.78557102570241866</v>
      </c>
      <c r="AC101" s="274">
        <f ca="1">Equity!$R$38</f>
        <v>0.9378377404978776</v>
      </c>
      <c r="AD101" s="274">
        <f ca="1">Equity!$R$40</f>
        <v>0.17519882647973573</v>
      </c>
      <c r="AE101" s="274">
        <f ca="1">Equity!$R$42</f>
        <v>7.3760094442444454E-2</v>
      </c>
      <c r="AF101" s="274">
        <f>INDEX(LINEST(Q42:Q101,'AC2'!$F42:$J101,1,1),1,1)</f>
        <v>0.21776532109273686</v>
      </c>
      <c r="AG101" s="274">
        <f>INDEX(LINEST(R42:R101,'AC2'!$F42:$J101,1,1),1,1)</f>
        <v>-0.99347946421446864</v>
      </c>
      <c r="AH101" s="274">
        <f>INDEX(LINEST(S42:S101,'AC2'!$F42:$J101,1,1),1,1)</f>
        <v>0.91426839423235284</v>
      </c>
      <c r="AI101" s="274">
        <f>INDEX(LINEST(T42:T101,'AC2'!$F42:$J101,1,1),1,1)</f>
        <v>0.29407003981737012</v>
      </c>
      <c r="AJ101" s="274">
        <f>INDEX(LINEST(U42:U101,'AC2'!$F42:$J101,1,1),1,1)</f>
        <v>0.1127902265589725</v>
      </c>
      <c r="AK101" s="154"/>
      <c r="AL101" s="421">
        <v>43220</v>
      </c>
      <c r="AM101" s="154">
        <f>HLOOKUP(AM$1,'Asset Returns'!$F$1:$ZS$109,ROW(),0)</f>
        <v>1.634500730076871E-3</v>
      </c>
      <c r="AN101" s="154">
        <f>HLOOKUP(AN$1,'Asset Returns'!$F$1:$ZS$109,ROW(),0)</f>
        <v>-2.466594438425429E-2</v>
      </c>
      <c r="AO101" s="273">
        <f ca="1">IF(IF(Bonds!$J$10="no",AQ101,AS101)=0,NA(),IF(Bonds!$J$10="no",AQ101,AS101))</f>
        <v>-0.12498736259259137</v>
      </c>
      <c r="AP101" s="273">
        <f ca="1">IF(IF(Bonds!$J$10="no",AR101,AT101)=0,NA(),IF(Bonds!$J$10="no",AR101,AT101))</f>
        <v>0.19970923689173462</v>
      </c>
      <c r="AQ101" s="273">
        <f ca="1">Bonds!$P$32</f>
        <v>-0.12498736259259137</v>
      </c>
      <c r="AR101" s="273">
        <f ca="1">Bonds!$P$34</f>
        <v>0.19970923689173462</v>
      </c>
      <c r="AS101" s="274">
        <f>INDEX(LINEST(AM42:AM101,'AC2'!$F42:$J101,1,1),1,1)</f>
        <v>0.18361634500367541</v>
      </c>
      <c r="AT101" s="274">
        <f>INDEX(LINEST(AN42:AN101,'AC2'!$F42:$J101,1,1),1,1)</f>
        <v>0.44341540310277777</v>
      </c>
      <c r="AU101" s="154"/>
      <c r="AV101" s="421">
        <v>43220</v>
      </c>
      <c r="AW101" s="154">
        <f>HLOOKUP(AW$1,'Asset Returns'!$F$1:$ZS$109,ROW(),0)</f>
        <v>-2.0930199999999999E-2</v>
      </c>
      <c r="AX101" s="154">
        <f>HLOOKUP(AX$1,'Asset Returns'!$F$1:$ZS$109,ROW(),0)</f>
        <v>1.2003999999999999E-2</v>
      </c>
      <c r="AY101" s="154">
        <f>HLOOKUP(AY$1,'Asset Returns'!$F$1:$ZS$109,ROW(),0)</f>
        <v>1.663104E-2</v>
      </c>
      <c r="AZ101" s="154">
        <f>HLOOKUP(AZ$1,'Asset Returns'!$F$1:$ZS$109,ROW(),0)</f>
        <v>7.6648000000000003E-3</v>
      </c>
      <c r="BA101" s="154">
        <f>HLOOKUP(BA$1,'Asset Returns'!$F$1:$ZS$109,ROW(),0)</f>
        <v>-0.17272950000000001</v>
      </c>
      <c r="BB101" s="273">
        <f>IF(IF(Funds!$J$10="no",BG101,BL101)=0,NA(),IF(Funds!$J$10="no",BG101,BL101))</f>
        <v>3.5341132530270589</v>
      </c>
      <c r="BC101" s="273">
        <f>IF(IF(Funds!$J$10="no",BH101,BM101)=0,NA(),IF(Funds!$J$10="no",BH101,BM101))</f>
        <v>2.1688552861104167E-2</v>
      </c>
      <c r="BD101" s="273">
        <f>IF(IF(Funds!$J$10="no",BI101,BN101)=0,NA(),IF(Funds!$J$10="no",BI101,BN101))</f>
        <v>-0.19964345665850503</v>
      </c>
      <c r="BE101" s="273">
        <f>IF(IF(Funds!$J$10="no",BJ101,BO101)=0,NA(),IF(Funds!$J$10="no",BJ101,BO101))</f>
        <v>-0.12385170515260323</v>
      </c>
      <c r="BF101" s="273">
        <f>IF(IF(Funds!$J$10="no",BK101,BP101)=0,NA(),IF(Funds!$J$10="no",BK101,BP101))</f>
        <v>-1.5961432217906171</v>
      </c>
      <c r="BG101" s="274">
        <f ca="1">Funds!$R$34</f>
        <v>2.5919346055080732</v>
      </c>
      <c r="BH101" s="274">
        <f ca="1">Funds!$R$36</f>
        <v>1.3378677483181089E-2</v>
      </c>
      <c r="BI101" s="274">
        <f ca="1">Funds!$R$38</f>
        <v>-0.15972963753204919</v>
      </c>
      <c r="BJ101" s="274">
        <f ca="1">Funds!$R$40</f>
        <v>-0.16887551350866659</v>
      </c>
      <c r="BK101" s="274">
        <f ca="1">Funds!$R$42</f>
        <v>-1.9222891726906419</v>
      </c>
      <c r="BL101" s="274">
        <f>INDEX(LINEST(AW42:AW101,'AC2'!$F42:$J101,1,1),1,1)</f>
        <v>3.5341132530270589</v>
      </c>
      <c r="BM101" s="274">
        <f>INDEX(LINEST(AX42:AX101,'AC2'!$F42:$J101,1,1),1,1)</f>
        <v>2.1688552861104167E-2</v>
      </c>
      <c r="BN101" s="274">
        <f>INDEX(LINEST(AY42:AY101,'AC2'!$F42:$J101,1,1),1,1)</f>
        <v>-0.19964345665850503</v>
      </c>
      <c r="BO101" s="274">
        <f>INDEX(LINEST(AZ42:AZ101,'AC2'!$F42:$J101,1,1),1,1)</f>
        <v>-0.12385170515260323</v>
      </c>
      <c r="BP101" s="274">
        <f>INDEX(LINEST(BA42:BA101,'AC2'!$F42:$J101,1,1),1,1)</f>
        <v>-1.5961432217906171</v>
      </c>
      <c r="BR101" s="154"/>
      <c r="BT101" s="154"/>
      <c r="CG101" s="218"/>
      <c r="CH101" s="154"/>
      <c r="CJ101" s="154"/>
      <c r="CL101" s="154"/>
      <c r="CN101" s="154"/>
      <c r="CP101" s="154"/>
      <c r="CR101" s="154"/>
      <c r="CT101" s="154"/>
    </row>
    <row r="102" spans="6:98">
      <c r="F102" s="421">
        <v>43251</v>
      </c>
      <c r="G102" s="272">
        <f>BMG!F102</f>
        <v>1.1393E-3</v>
      </c>
      <c r="H102" s="272" t="e">
        <f>IF('Carbon Risk Factor BMG'!$G$10="yes",AVERAGE(AC!$G66:$G101),NA())</f>
        <v>#N/A</v>
      </c>
      <c r="I102" s="272" t="e">
        <f>IF('Carbon Risk Factor BMG'!$G$11="yes",MIN(AC!$G66:$G101),NA())</f>
        <v>#N/A</v>
      </c>
      <c r="J102" s="272" t="e">
        <f>IF('Carbon Risk Factor BMG'!$G$12="yes",MAX(AC!$G66:$G101),NA())</f>
        <v>#N/A</v>
      </c>
      <c r="K102" s="272" t="e">
        <f>IF('Carbon Risk Factor BMG'!$G$13="yes",_xlfn.STDEV.S(AC!$G66:$G101),NA())</f>
        <v>#N/A</v>
      </c>
      <c r="L102" s="272" t="e">
        <f>IF('Carbon Risk Factor BMG'!$G$14="yes",_xlfn.PERCENTILE.INC(AC!$G66:$G101,'Carbon Risk Factor BMG'!$H$14),NA())</f>
        <v>#N/A</v>
      </c>
      <c r="M102" s="272" t="e">
        <f>IF('Carbon Risk Factor BMG'!$G$15="yes",_xlfn.PERCENTILE.INC(AC!$G66:$G101,'Carbon Risk Factor BMG'!$H$15),NA())</f>
        <v>#N/A</v>
      </c>
      <c r="N102" s="272">
        <f t="shared" si="29"/>
        <v>-0.18992831316321435</v>
      </c>
      <c r="P102" s="421">
        <v>43251</v>
      </c>
      <c r="Q102" s="154">
        <f>HLOOKUP(Q$1,'Asset Returns'!$F$1:$N$109,ROW(),0)</f>
        <v>-0.17935534902115879</v>
      </c>
      <c r="R102" s="154">
        <f>HLOOKUP(R$1,'Asset Returns'!$F$1:$N$109,ROW(),0)</f>
        <v>-2.9438822447102164E-2</v>
      </c>
      <c r="S102" s="154">
        <f>HLOOKUP(S$1,'Asset Returns'!$F$1:$N$109,ROW(),0)</f>
        <v>4.8527200966163031E-2</v>
      </c>
      <c r="T102" s="154">
        <f>HLOOKUP(T$1,'Asset Returns'!$F$1:$N$109,ROW(),0)</f>
        <v>-1.4447682457297217E-2</v>
      </c>
      <c r="U102" s="154">
        <f>HLOOKUP(U$1,'Asset Returns'!$F$1:$N$109,ROW(),0)</f>
        <v>0.12490943484625139</v>
      </c>
      <c r="V102" s="273">
        <f>IF(IF(Equity!$J$10="no",AA102,AF102)=0,NA(),IF(Equity!$J$10="no",AA102,AF102))</f>
        <v>-4.8857372458173266E-2</v>
      </c>
      <c r="W102" s="273">
        <f>IF(IF(Equity!$J$10="no",AB102,AG102)=0,NA(),IF(Equity!$J$10="no",AB102,AG102))</f>
        <v>-0.99000195554740189</v>
      </c>
      <c r="X102" s="273">
        <f>IF(IF(Equity!$J$10="no",AC102,AH102)=0,NA(),IF(Equity!$J$10="no",AC102,AH102))</f>
        <v>1.0478141726205492</v>
      </c>
      <c r="Y102" s="273">
        <f>IF(IF(Equity!$J$10="no",AD102,AI102)=0,NA(),IF(Equity!$J$10="no",AD102,AI102))</f>
        <v>0.36645143122943669</v>
      </c>
      <c r="Z102" s="273">
        <f>IF(IF(Equity!$J$10="no",AE102,AJ102)=0,NA(),IF(Equity!$J$10="no",AE102,AJ102))</f>
        <v>8.9653724363646534E-2</v>
      </c>
      <c r="AA102" s="274">
        <f ca="1">Equity!$R$34</f>
        <v>0.64097224418739052</v>
      </c>
      <c r="AB102" s="274">
        <f ca="1">Equity!$R$36</f>
        <v>-0.78557102570241866</v>
      </c>
      <c r="AC102" s="274">
        <f ca="1">Equity!$R$38</f>
        <v>0.9378377404978776</v>
      </c>
      <c r="AD102" s="274">
        <f ca="1">Equity!$R$40</f>
        <v>0.17519882647973573</v>
      </c>
      <c r="AE102" s="274">
        <f ca="1">Equity!$R$42</f>
        <v>7.3760094442444454E-2</v>
      </c>
      <c r="AF102" s="274">
        <f>INDEX(LINEST(Q43:Q102,'AC2'!$F43:$J102,1,1),1,1)</f>
        <v>-4.8857372458173266E-2</v>
      </c>
      <c r="AG102" s="274">
        <f>INDEX(LINEST(R43:R102,'AC2'!$F43:$J102,1,1),1,1)</f>
        <v>-0.99000195554740189</v>
      </c>
      <c r="AH102" s="274">
        <f>INDEX(LINEST(S43:S102,'AC2'!$F43:$J102,1,1),1,1)</f>
        <v>1.0478141726205492</v>
      </c>
      <c r="AI102" s="274">
        <f>INDEX(LINEST(T43:T102,'AC2'!$F43:$J102,1,1),1,1)</f>
        <v>0.36645143122943669</v>
      </c>
      <c r="AJ102" s="274">
        <f>INDEX(LINEST(U43:U102,'AC2'!$F43:$J102,1,1),1,1)</f>
        <v>8.9653724363646534E-2</v>
      </c>
      <c r="AK102" s="154"/>
      <c r="AL102" s="421">
        <v>43251</v>
      </c>
      <c r="AM102" s="154">
        <f>HLOOKUP(AM$1,'Asset Returns'!$F$1:$ZS$109,ROW(),0)</f>
        <v>1.2725193022590675E-2</v>
      </c>
      <c r="AN102" s="154">
        <f>HLOOKUP(AN$1,'Asset Returns'!$F$1:$ZS$109,ROW(),0)</f>
        <v>1.5835400698584357E-2</v>
      </c>
      <c r="AO102" s="273">
        <f ca="1">IF(IF(Bonds!$J$10="no",AQ102,AS102)=0,NA(),IF(Bonds!$J$10="no",AQ102,AS102))</f>
        <v>-0.12498736259259137</v>
      </c>
      <c r="AP102" s="273">
        <f ca="1">IF(IF(Bonds!$J$10="no",AR102,AT102)=0,NA(),IF(Bonds!$J$10="no",AR102,AT102))</f>
        <v>0.19970923689173462</v>
      </c>
      <c r="AQ102" s="273">
        <f ca="1">Bonds!$P$32</f>
        <v>-0.12498736259259137</v>
      </c>
      <c r="AR102" s="273">
        <f ca="1">Bonds!$P$34</f>
        <v>0.19970923689173462</v>
      </c>
      <c r="AS102" s="274">
        <f>INDEX(LINEST(AM43:AM102,'AC2'!$F43:$J102,1,1),1,1)</f>
        <v>0.11736438676448538</v>
      </c>
      <c r="AT102" s="274">
        <f>INDEX(LINEST(AN43:AN102,'AC2'!$F43:$J102,1,1),1,1)</f>
        <v>0.34576289023540219</v>
      </c>
      <c r="AU102" s="154"/>
      <c r="AV102" s="421">
        <v>43251</v>
      </c>
      <c r="AW102" s="154">
        <f>HLOOKUP(AW$1,'Asset Returns'!$F$1:$ZS$109,ROW(),0)</f>
        <v>-3.8004799999999998E-2</v>
      </c>
      <c r="AX102" s="154">
        <f>HLOOKUP(AX$1,'Asset Returns'!$F$1:$ZS$109,ROW(),0)</f>
        <v>6.2588000000000001E-3</v>
      </c>
      <c r="AY102" s="154">
        <f>HLOOKUP(AY$1,'Asset Returns'!$F$1:$ZS$109,ROW(),0)</f>
        <v>-1.2281770000000001E-2</v>
      </c>
      <c r="AZ102" s="154">
        <f>HLOOKUP(AZ$1,'Asset Returns'!$F$1:$ZS$109,ROW(),0)</f>
        <v>2.0161200000000001E-2</v>
      </c>
      <c r="BA102" s="154">
        <f>HLOOKUP(BA$1,'Asset Returns'!$F$1:$ZS$109,ROW(),0)</f>
        <v>-7.1791800000000003E-2</v>
      </c>
      <c r="BB102" s="273">
        <f>IF(IF(Funds!$J$10="no",BG102,BL102)=0,NA(),IF(Funds!$J$10="no",BG102,BL102))</f>
        <v>3.3832477716107285</v>
      </c>
      <c r="BC102" s="273">
        <f>IF(IF(Funds!$J$10="no",BH102,BM102)=0,NA(),IF(Funds!$J$10="no",BH102,BM102))</f>
        <v>1.8328651498980542E-2</v>
      </c>
      <c r="BD102" s="273">
        <f>IF(IF(Funds!$J$10="no",BI102,BN102)=0,NA(),IF(Funds!$J$10="no",BI102,BN102))</f>
        <v>-0.21993211339802871</v>
      </c>
      <c r="BE102" s="273">
        <f>IF(IF(Funds!$J$10="no",BJ102,BO102)=0,NA(),IF(Funds!$J$10="no",BJ102,BO102))</f>
        <v>-6.3678054908140089E-2</v>
      </c>
      <c r="BF102" s="273">
        <f>IF(IF(Funds!$J$10="no",BK102,BP102)=0,NA(),IF(Funds!$J$10="no",BK102,BP102))</f>
        <v>-1.9480436878859921</v>
      </c>
      <c r="BG102" s="274">
        <f ca="1">Funds!$R$34</f>
        <v>2.5919346055080732</v>
      </c>
      <c r="BH102" s="274">
        <f ca="1">Funds!$R$36</f>
        <v>1.3378677483181089E-2</v>
      </c>
      <c r="BI102" s="274">
        <f ca="1">Funds!$R$38</f>
        <v>-0.15972963753204919</v>
      </c>
      <c r="BJ102" s="274">
        <f ca="1">Funds!$R$40</f>
        <v>-0.16887551350866659</v>
      </c>
      <c r="BK102" s="274">
        <f ca="1">Funds!$R$42</f>
        <v>-1.9222891726906419</v>
      </c>
      <c r="BL102" s="274">
        <f>INDEX(LINEST(AW43:AW102,'AC2'!$F43:$J102,1,1),1,1)</f>
        <v>3.3832477716107285</v>
      </c>
      <c r="BM102" s="274">
        <f>INDEX(LINEST(AX43:AX102,'AC2'!$F43:$J102,1,1),1,1)</f>
        <v>1.8328651498980542E-2</v>
      </c>
      <c r="BN102" s="274">
        <f>INDEX(LINEST(AY43:AY102,'AC2'!$F43:$J102,1,1),1,1)</f>
        <v>-0.21993211339802871</v>
      </c>
      <c r="BO102" s="274">
        <f>INDEX(LINEST(AZ43:AZ102,'AC2'!$F43:$J102,1,1),1,1)</f>
        <v>-6.3678054908140089E-2</v>
      </c>
      <c r="BP102" s="274">
        <f>INDEX(LINEST(BA43:BA102,'AC2'!$F43:$J102,1,1),1,1)</f>
        <v>-1.9480436878859921</v>
      </c>
      <c r="BR102" s="154"/>
      <c r="BT102" s="154"/>
      <c r="CG102" s="218"/>
      <c r="CH102" s="154"/>
      <c r="CJ102" s="154"/>
      <c r="CL102" s="154"/>
      <c r="CN102" s="154"/>
      <c r="CP102" s="154"/>
      <c r="CR102" s="154"/>
      <c r="CT102" s="154"/>
    </row>
    <row r="103" spans="6:98">
      <c r="F103" s="421">
        <v>43281</v>
      </c>
      <c r="G103" s="272">
        <f>BMG!F103</f>
        <v>4.5326999999999998E-3</v>
      </c>
      <c r="H103" s="272" t="e">
        <f>IF('Carbon Risk Factor BMG'!$G$10="yes",AVERAGE(AC!$G67:$G102),NA())</f>
        <v>#N/A</v>
      </c>
      <c r="I103" s="272" t="e">
        <f>IF('Carbon Risk Factor BMG'!$G$11="yes",MIN(AC!$G67:$G102),NA())</f>
        <v>#N/A</v>
      </c>
      <c r="J103" s="272" t="e">
        <f>IF('Carbon Risk Factor BMG'!$G$12="yes",MAX(AC!$G67:$G102),NA())</f>
        <v>#N/A</v>
      </c>
      <c r="K103" s="272" t="e">
        <f>IF('Carbon Risk Factor BMG'!$G$13="yes",_xlfn.STDEV.S(AC!$G67:$G102),NA())</f>
        <v>#N/A</v>
      </c>
      <c r="L103" s="272" t="e">
        <f>IF('Carbon Risk Factor BMG'!$G$14="yes",_xlfn.PERCENTILE.INC(AC!$G67:$G102,'Carbon Risk Factor BMG'!$H$14),NA())</f>
        <v>#N/A</v>
      </c>
      <c r="M103" s="272" t="e">
        <f>IF('Carbon Risk Factor BMG'!$G$15="yes",_xlfn.PERCENTILE.INC(AC!$G67:$G102,'Carbon Risk Factor BMG'!$H$15),NA())</f>
        <v>#N/A</v>
      </c>
      <c r="N103" s="272">
        <f t="shared" si="29"/>
        <v>-0.1862565012282893</v>
      </c>
      <c r="P103" s="421">
        <v>43281</v>
      </c>
      <c r="Q103" s="154">
        <f>HLOOKUP(Q$1,'Asset Returns'!$F$1:$N$109,ROW(),0)</f>
        <v>-6.0963855421686808E-2</v>
      </c>
      <c r="R103" s="154">
        <f>HLOOKUP(R$1,'Asset Returns'!$F$1:$N$109,ROW(),0)</f>
        <v>1.6303317535544926E-2</v>
      </c>
      <c r="S103" s="154">
        <f>HLOOKUP(S$1,'Asset Returns'!$F$1:$N$109,ROW(),0)</f>
        <v>-4.3716058274216874E-3</v>
      </c>
      <c r="T103" s="154">
        <f>HLOOKUP(T$1,'Asset Returns'!$F$1:$N$109,ROW(),0)</f>
        <v>-1.1391743899438533E-2</v>
      </c>
      <c r="U103" s="154">
        <f>HLOOKUP(U$1,'Asset Returns'!$F$1:$N$109,ROW(),0)</f>
        <v>-2.1943182861892563E-2</v>
      </c>
      <c r="V103" s="273">
        <f>IF(IF(Equity!$J$10="no",AA103,AF103)=0,NA(),IF(Equity!$J$10="no",AA103,AF103))</f>
        <v>-0.15407881036988347</v>
      </c>
      <c r="W103" s="273">
        <f>IF(IF(Equity!$J$10="no",AB103,AG103)=0,NA(),IF(Equity!$J$10="no",AB103,AG103))</f>
        <v>-0.92674029222315746</v>
      </c>
      <c r="X103" s="273">
        <f>IF(IF(Equity!$J$10="no",AC103,AH103)=0,NA(),IF(Equity!$J$10="no",AC103,AH103))</f>
        <v>1.0529022522136033</v>
      </c>
      <c r="Y103" s="273">
        <f>IF(IF(Equity!$J$10="no",AD103,AI103)=0,NA(),IF(Equity!$J$10="no",AD103,AI103))</f>
        <v>0.31714924331562871</v>
      </c>
      <c r="Z103" s="273">
        <f>IF(IF(Equity!$J$10="no",AE103,AJ103)=0,NA(),IF(Equity!$J$10="no",AE103,AJ103))</f>
        <v>0.14477561509188352</v>
      </c>
      <c r="AA103" s="274">
        <f ca="1">Equity!$R$34</f>
        <v>0.64097224418739052</v>
      </c>
      <c r="AB103" s="274">
        <f ca="1">Equity!$R$36</f>
        <v>-0.78557102570241866</v>
      </c>
      <c r="AC103" s="274">
        <f ca="1">Equity!$R$38</f>
        <v>0.9378377404978776</v>
      </c>
      <c r="AD103" s="274">
        <f ca="1">Equity!$R$40</f>
        <v>0.17519882647973573</v>
      </c>
      <c r="AE103" s="274">
        <f ca="1">Equity!$R$42</f>
        <v>7.3760094442444454E-2</v>
      </c>
      <c r="AF103" s="274">
        <f>INDEX(LINEST(Q44:Q103,'AC2'!$F44:$J103,1,1),1,1)</f>
        <v>-0.15407881036988347</v>
      </c>
      <c r="AG103" s="274">
        <f>INDEX(LINEST(R44:R103,'AC2'!$F44:$J103,1,1),1,1)</f>
        <v>-0.92674029222315746</v>
      </c>
      <c r="AH103" s="274">
        <f>INDEX(LINEST(S44:S103,'AC2'!$F44:$J103,1,1),1,1)</f>
        <v>1.0529022522136033</v>
      </c>
      <c r="AI103" s="274">
        <f>INDEX(LINEST(T44:T103,'AC2'!$F44:$J103,1,1),1,1)</f>
        <v>0.31714924331562871</v>
      </c>
      <c r="AJ103" s="274">
        <f>INDEX(LINEST(U44:U103,'AC2'!$F44:$J103,1,1),1,1)</f>
        <v>0.14477561509188352</v>
      </c>
      <c r="AK103" s="154"/>
      <c r="AL103" s="421">
        <v>43281</v>
      </c>
      <c r="AM103" s="154">
        <f>HLOOKUP(AM$1,'Asset Returns'!$F$1:$ZS$109,ROW(),0)</f>
        <v>-2.283483417122445E-2</v>
      </c>
      <c r="AN103" s="154">
        <f>HLOOKUP(AN$1,'Asset Returns'!$F$1:$ZS$109,ROW(),0)</f>
        <v>4.1674766718506895E-3</v>
      </c>
      <c r="AO103" s="273">
        <f ca="1">IF(IF(Bonds!$J$10="no",AQ103,AS103)=0,NA(),IF(Bonds!$J$10="no",AQ103,AS103))</f>
        <v>-0.12498736259259137</v>
      </c>
      <c r="AP103" s="273">
        <f ca="1">IF(IF(Bonds!$J$10="no",AR103,AT103)=0,NA(),IF(Bonds!$J$10="no",AR103,AT103))</f>
        <v>0.19970923689173462</v>
      </c>
      <c r="AQ103" s="273">
        <f ca="1">Bonds!$P$32</f>
        <v>-0.12498736259259137</v>
      </c>
      <c r="AR103" s="273">
        <f ca="1">Bonds!$P$34</f>
        <v>0.19970923689173462</v>
      </c>
      <c r="AS103" s="274">
        <f>INDEX(LINEST(AM44:AM103,'AC2'!$F44:$J103,1,1),1,1)</f>
        <v>4.9869687643590684E-2</v>
      </c>
      <c r="AT103" s="274">
        <f>INDEX(LINEST(AN44:AN103,'AC2'!$F44:$J103,1,1),1,1)</f>
        <v>0.31317742618163885</v>
      </c>
      <c r="AU103" s="154"/>
      <c r="AV103" s="421">
        <v>43281</v>
      </c>
      <c r="AW103" s="154">
        <f>HLOOKUP(AW$1,'Asset Returns'!$F$1:$ZS$109,ROW(),0)</f>
        <v>-6.1728399999999996E-2</v>
      </c>
      <c r="AX103" s="154">
        <f>HLOOKUP(AX$1,'Asset Returns'!$F$1:$ZS$109,ROW(),0)</f>
        <v>-9.9909999999999994E-4</v>
      </c>
      <c r="AY103" s="154">
        <f>HLOOKUP(AY$1,'Asset Returns'!$F$1:$ZS$109,ROW(),0)</f>
        <v>-7.9692800000000005E-3</v>
      </c>
      <c r="AZ103" s="154">
        <f>HLOOKUP(AZ$1,'Asset Returns'!$F$1:$ZS$109,ROW(),0)</f>
        <v>1.6189999999999999E-5</v>
      </c>
      <c r="BA103" s="154">
        <f>HLOOKUP(BA$1,'Asset Returns'!$F$1:$ZS$109,ROW(),0)</f>
        <v>-1.9658399999999999E-2</v>
      </c>
      <c r="BB103" s="273">
        <f>IF(IF(Funds!$J$10="no",BG103,BL103)=0,NA(),IF(Funds!$J$10="no",BG103,BL103))</f>
        <v>3.1822162009243038</v>
      </c>
      <c r="BC103" s="273">
        <f>IF(IF(Funds!$J$10="no",BH103,BM103)=0,NA(),IF(Funds!$J$10="no",BH103,BM103))</f>
        <v>2.1331993328399305E-2</v>
      </c>
      <c r="BD103" s="273">
        <f>IF(IF(Funds!$J$10="no",BI103,BN103)=0,NA(),IF(Funds!$J$10="no",BI103,BN103))</f>
        <v>-0.24444939920249589</v>
      </c>
      <c r="BE103" s="273">
        <f>IF(IF(Funds!$J$10="no",BJ103,BO103)=0,NA(),IF(Funds!$J$10="no",BJ103,BO103))</f>
        <v>-6.1114931938183722E-2</v>
      </c>
      <c r="BF103" s="273">
        <f>IF(IF(Funds!$J$10="no",BK103,BP103)=0,NA(),IF(Funds!$J$10="no",BK103,BP103))</f>
        <v>-2.0451868798192021</v>
      </c>
      <c r="BG103" s="274">
        <f ca="1">Funds!$R$34</f>
        <v>2.5919346055080732</v>
      </c>
      <c r="BH103" s="274">
        <f ca="1">Funds!$R$36</f>
        <v>1.3378677483181089E-2</v>
      </c>
      <c r="BI103" s="274">
        <f ca="1">Funds!$R$38</f>
        <v>-0.15972963753204919</v>
      </c>
      <c r="BJ103" s="274">
        <f ca="1">Funds!$R$40</f>
        <v>-0.16887551350866659</v>
      </c>
      <c r="BK103" s="274">
        <f ca="1">Funds!$R$42</f>
        <v>-1.9222891726906419</v>
      </c>
      <c r="BL103" s="274">
        <f>INDEX(LINEST(AW44:AW103,'AC2'!$F44:$J103,1,1),1,1)</f>
        <v>3.1822162009243038</v>
      </c>
      <c r="BM103" s="274">
        <f>INDEX(LINEST(AX44:AX103,'AC2'!$F44:$J103,1,1),1,1)</f>
        <v>2.1331993328399305E-2</v>
      </c>
      <c r="BN103" s="274">
        <f>INDEX(LINEST(AY44:AY103,'AC2'!$F44:$J103,1,1),1,1)</f>
        <v>-0.24444939920249589</v>
      </c>
      <c r="BO103" s="274">
        <f>INDEX(LINEST(AZ44:AZ103,'AC2'!$F44:$J103,1,1),1,1)</f>
        <v>-6.1114931938183722E-2</v>
      </c>
      <c r="BP103" s="274">
        <f>INDEX(LINEST(BA44:BA103,'AC2'!$F44:$J103,1,1),1,1)</f>
        <v>-2.0451868798192021</v>
      </c>
      <c r="BR103" s="154"/>
      <c r="BT103" s="154"/>
      <c r="CG103" s="218"/>
      <c r="CH103" s="154"/>
      <c r="CJ103" s="154"/>
      <c r="CL103" s="154"/>
      <c r="CN103" s="154"/>
      <c r="CP103" s="154"/>
      <c r="CR103" s="154"/>
      <c r="CT103" s="154"/>
    </row>
    <row r="104" spans="6:98">
      <c r="F104" s="421">
        <v>43312</v>
      </c>
      <c r="G104" s="272">
        <f>BMG!F104</f>
        <v>-1.1169500000000001E-2</v>
      </c>
      <c r="H104" s="272" t="e">
        <f>IF('Carbon Risk Factor BMG'!$G$10="yes",AVERAGE(AC!$G68:$G103),NA())</f>
        <v>#N/A</v>
      </c>
      <c r="I104" s="272" t="e">
        <f>IF('Carbon Risk Factor BMG'!$G$11="yes",MIN(AC!$G68:$G103),NA())</f>
        <v>#N/A</v>
      </c>
      <c r="J104" s="272" t="e">
        <f>IF('Carbon Risk Factor BMG'!$G$12="yes",MAX(AC!$G68:$G103),NA())</f>
        <v>#N/A</v>
      </c>
      <c r="K104" s="272" t="e">
        <f>IF('Carbon Risk Factor BMG'!$G$13="yes",_xlfn.STDEV.S(AC!$G68:$G103),NA())</f>
        <v>#N/A</v>
      </c>
      <c r="L104" s="272" t="e">
        <f>IF('Carbon Risk Factor BMG'!$G$14="yes",_xlfn.PERCENTILE.INC(AC!$G68:$G103,'Carbon Risk Factor BMG'!$H$14),NA())</f>
        <v>#N/A</v>
      </c>
      <c r="M104" s="272" t="e">
        <f>IF('Carbon Risk Factor BMG'!$G$15="yes",_xlfn.PERCENTILE.INC(AC!$G68:$G103,'Carbon Risk Factor BMG'!$H$15),NA())</f>
        <v>#N/A</v>
      </c>
      <c r="N104" s="272">
        <f t="shared" si="29"/>
        <v>-0.19534560923781996</v>
      </c>
      <c r="P104" s="421">
        <v>43312</v>
      </c>
      <c r="Q104" s="154">
        <f>HLOOKUP(Q$1,'Asset Returns'!$F$1:$N$109,ROW(),0)</f>
        <v>-2.0272004105722274E-2</v>
      </c>
      <c r="R104" s="154">
        <f>HLOOKUP(R$1,'Asset Returns'!$F$1:$N$109,ROW(),0)</f>
        <v>8.0208916246968798E-3</v>
      </c>
      <c r="S104" s="154">
        <f>HLOOKUP(S$1,'Asset Returns'!$F$1:$N$109,ROW(),0)</f>
        <v>-1.5029195985229227E-2</v>
      </c>
      <c r="T104" s="154">
        <f>HLOOKUP(T$1,'Asset Returns'!$F$1:$N$109,ROW(),0)</f>
        <v>3.7437778359968643E-2</v>
      </c>
      <c r="U104" s="154">
        <f>HLOOKUP(U$1,'Asset Returns'!$F$1:$N$109,ROW(),0)</f>
        <v>3.5686024376322401E-3</v>
      </c>
      <c r="V104" s="273">
        <f>IF(IF(Equity!$J$10="no",AA104,AF104)=0,NA(),IF(Equity!$J$10="no",AA104,AF104))</f>
        <v>-0.14578791667368654</v>
      </c>
      <c r="W104" s="273">
        <f>IF(IF(Equity!$J$10="no",AB104,AG104)=0,NA(),IF(Equity!$J$10="no",AB104,AG104))</f>
        <v>-0.92951880039949175</v>
      </c>
      <c r="X104" s="273">
        <f>IF(IF(Equity!$J$10="no",AC104,AH104)=0,NA(),IF(Equity!$J$10="no",AC104,AH104))</f>
        <v>1.0612488301626726</v>
      </c>
      <c r="Y104" s="273">
        <f>IF(IF(Equity!$J$10="no",AD104,AI104)=0,NA(),IF(Equity!$J$10="no",AD104,AI104))</f>
        <v>0.29390388110005572</v>
      </c>
      <c r="Z104" s="273">
        <f>IF(IF(Equity!$J$10="no",AE104,AJ104)=0,NA(),IF(Equity!$J$10="no",AE104,AJ104))</f>
        <v>0.13431886925382411</v>
      </c>
      <c r="AA104" s="274">
        <f ca="1">Equity!$R$34</f>
        <v>0.64097224418739052</v>
      </c>
      <c r="AB104" s="274">
        <f ca="1">Equity!$R$36</f>
        <v>-0.78557102570241866</v>
      </c>
      <c r="AC104" s="274">
        <f ca="1">Equity!$R$38</f>
        <v>0.9378377404978776</v>
      </c>
      <c r="AD104" s="274">
        <f ca="1">Equity!$R$40</f>
        <v>0.17519882647973573</v>
      </c>
      <c r="AE104" s="274">
        <f ca="1">Equity!$R$42</f>
        <v>7.3760094442444454E-2</v>
      </c>
      <c r="AF104" s="274">
        <f>INDEX(LINEST(Q45:Q104,'AC2'!$F45:$J104,1,1),1,1)</f>
        <v>-0.14578791667368654</v>
      </c>
      <c r="AG104" s="274">
        <f>INDEX(LINEST(R45:R104,'AC2'!$F45:$J104,1,1),1,1)</f>
        <v>-0.92951880039949175</v>
      </c>
      <c r="AH104" s="274">
        <f>INDEX(LINEST(S45:S104,'AC2'!$F45:$J104,1,1),1,1)</f>
        <v>1.0612488301626726</v>
      </c>
      <c r="AI104" s="274">
        <f>INDEX(LINEST(T45:T104,'AC2'!$F45:$J104,1,1),1,1)</f>
        <v>0.29390388110005572</v>
      </c>
      <c r="AJ104" s="274">
        <f>INDEX(LINEST(U45:U104,'AC2'!$F45:$J104,1,1),1,1)</f>
        <v>0.13431886925382411</v>
      </c>
      <c r="AK104" s="154"/>
      <c r="AL104" s="421">
        <v>43312</v>
      </c>
      <c r="AM104" s="154">
        <f>HLOOKUP(AM$1,'Asset Returns'!$F$1:$ZS$109,ROW(),0)</f>
        <v>-5.9677490278853274E-4</v>
      </c>
      <c r="AN104" s="154">
        <f>HLOOKUP(AN$1,'Asset Returns'!$F$1:$ZS$109,ROW(),0)</f>
        <v>-8.1430662939974141E-3</v>
      </c>
      <c r="AO104" s="273">
        <f ca="1">IF(IF(Bonds!$J$10="no",AQ104,AS104)=0,NA(),IF(Bonds!$J$10="no",AQ104,AS104))</f>
        <v>-0.12498736259259137</v>
      </c>
      <c r="AP104" s="273">
        <f ca="1">IF(IF(Bonds!$J$10="no",AR104,AT104)=0,NA(),IF(Bonds!$J$10="no",AR104,AT104))</f>
        <v>0.19970923689173462</v>
      </c>
      <c r="AQ104" s="273">
        <f ca="1">Bonds!$P$32</f>
        <v>-0.12498736259259137</v>
      </c>
      <c r="AR104" s="273">
        <f ca="1">Bonds!$P$34</f>
        <v>0.19970923689173462</v>
      </c>
      <c r="AS104" s="274">
        <f>INDEX(LINEST(AM45:AM104,'AC2'!$F45:$J104,1,1),1,1)</f>
        <v>4.6927889272782769E-2</v>
      </c>
      <c r="AT104" s="274">
        <f>INDEX(LINEST(AN45:AN104,'AC2'!$F45:$J104,1,1),1,1)</f>
        <v>0.31390526119377476</v>
      </c>
      <c r="AU104" s="154"/>
      <c r="AV104" s="421">
        <v>43312</v>
      </c>
      <c r="AW104" s="154">
        <f>HLOOKUP(AW$1,'Asset Returns'!$F$1:$ZS$109,ROW(),0)</f>
        <v>1.0526299999999999E-2</v>
      </c>
      <c r="AX104" s="154">
        <f>HLOOKUP(AX$1,'Asset Returns'!$F$1:$ZS$109,ROW(),0)</f>
        <v>3.1055899999999997E-2</v>
      </c>
      <c r="AY104" s="154">
        <f>HLOOKUP(AY$1,'Asset Returns'!$F$1:$ZS$109,ROW(),0)</f>
        <v>4.1675170000000004E-2</v>
      </c>
      <c r="AZ104" s="154">
        <f>HLOOKUP(AZ$1,'Asset Returns'!$F$1:$ZS$109,ROW(),0)</f>
        <v>2.7800129999999999E-2</v>
      </c>
      <c r="BA104" s="154">
        <f>HLOOKUP(BA$1,'Asset Returns'!$F$1:$ZS$109,ROW(),0)</f>
        <v>-2.6298499999999999E-2</v>
      </c>
      <c r="BB104" s="273">
        <f>IF(IF(Funds!$J$10="no",BG104,BL104)=0,NA(),IF(Funds!$J$10="no",BG104,BL104))</f>
        <v>3.1701912546995668</v>
      </c>
      <c r="BC104" s="273">
        <f>IF(IF(Funds!$J$10="no",BH104,BM104)=0,NA(),IF(Funds!$J$10="no",BH104,BM104))</f>
        <v>1.9487418628260884E-2</v>
      </c>
      <c r="BD104" s="273">
        <f>IF(IF(Funds!$J$10="no",BI104,BN104)=0,NA(),IF(Funds!$J$10="no",BI104,BN104))</f>
        <v>-0.24678969897321049</v>
      </c>
      <c r="BE104" s="273">
        <f>IF(IF(Funds!$J$10="no",BJ104,BO104)=0,NA(),IF(Funds!$J$10="no",BJ104,BO104))</f>
        <v>-6.8597181653337683E-2</v>
      </c>
      <c r="BF104" s="273">
        <f>IF(IF(Funds!$J$10="no",BK104,BP104)=0,NA(),IF(Funds!$J$10="no",BK104,BP104))</f>
        <v>-2.0500946447621762</v>
      </c>
      <c r="BG104" s="274">
        <f ca="1">Funds!$R$34</f>
        <v>2.5919346055080732</v>
      </c>
      <c r="BH104" s="274">
        <f ca="1">Funds!$R$36</f>
        <v>1.3378677483181089E-2</v>
      </c>
      <c r="BI104" s="274">
        <f ca="1">Funds!$R$38</f>
        <v>-0.15972963753204919</v>
      </c>
      <c r="BJ104" s="274">
        <f ca="1">Funds!$R$40</f>
        <v>-0.16887551350866659</v>
      </c>
      <c r="BK104" s="274">
        <f ca="1">Funds!$R$42</f>
        <v>-1.9222891726906419</v>
      </c>
      <c r="BL104" s="274">
        <f>INDEX(LINEST(AW45:AW104,'AC2'!$F45:$J104,1,1),1,1)</f>
        <v>3.1701912546995668</v>
      </c>
      <c r="BM104" s="274">
        <f>INDEX(LINEST(AX45:AX104,'AC2'!$F45:$J104,1,1),1,1)</f>
        <v>1.9487418628260884E-2</v>
      </c>
      <c r="BN104" s="274">
        <f>INDEX(LINEST(AY45:AY104,'AC2'!$F45:$J104,1,1),1,1)</f>
        <v>-0.24678969897321049</v>
      </c>
      <c r="BO104" s="274">
        <f>INDEX(LINEST(AZ45:AZ104,'AC2'!$F45:$J104,1,1),1,1)</f>
        <v>-6.8597181653337683E-2</v>
      </c>
      <c r="BP104" s="274">
        <f>INDEX(LINEST(BA45:BA104,'AC2'!$F45:$J104,1,1),1,1)</f>
        <v>-2.0500946447621762</v>
      </c>
      <c r="BR104" s="154"/>
      <c r="BT104" s="154"/>
      <c r="CG104" s="218"/>
      <c r="CH104" s="154"/>
      <c r="CJ104" s="154"/>
      <c r="CL104" s="154"/>
      <c r="CN104" s="154"/>
      <c r="CP104" s="154"/>
      <c r="CR104" s="154"/>
      <c r="CT104" s="154"/>
    </row>
    <row r="105" spans="6:98">
      <c r="F105" s="421">
        <v>43343</v>
      </c>
      <c r="G105" s="272">
        <f>BMG!F105</f>
        <v>-2.3355999999999998E-2</v>
      </c>
      <c r="H105" s="272" t="e">
        <f>IF('Carbon Risk Factor BMG'!$G$10="yes",AVERAGE(AC!$G69:$G104),NA())</f>
        <v>#N/A</v>
      </c>
      <c r="I105" s="272" t="e">
        <f>IF('Carbon Risk Factor BMG'!$G$11="yes",MIN(AC!$G69:$G104),NA())</f>
        <v>#N/A</v>
      </c>
      <c r="J105" s="272" t="e">
        <f>IF('Carbon Risk Factor BMG'!$G$12="yes",MAX(AC!$G69:$G104),NA())</f>
        <v>#N/A</v>
      </c>
      <c r="K105" s="272" t="e">
        <f>IF('Carbon Risk Factor BMG'!$G$13="yes",_xlfn.STDEV.S(AC!$G69:$G104),NA())</f>
        <v>#N/A</v>
      </c>
      <c r="L105" s="272" t="e">
        <f>IF('Carbon Risk Factor BMG'!$G$14="yes",_xlfn.PERCENTILE.INC(AC!$G69:$G104,'Carbon Risk Factor BMG'!$H$14),NA())</f>
        <v>#N/A</v>
      </c>
      <c r="M105" s="272" t="e">
        <f>IF('Carbon Risk Factor BMG'!$G$15="yes",_xlfn.PERCENTILE.INC(AC!$G69:$G104,'Carbon Risk Factor BMG'!$H$15),NA())</f>
        <v>#N/A</v>
      </c>
      <c r="N105" s="272">
        <f t="shared" si="29"/>
        <v>-0.21413911718846146</v>
      </c>
      <c r="P105" s="421">
        <v>43343</v>
      </c>
      <c r="Q105" s="154">
        <f>HLOOKUP(Q$1,'Asset Returns'!$F$1:$N$109,ROW(),0)</f>
        <v>-2.0691461498166586E-2</v>
      </c>
      <c r="R105" s="154">
        <f>HLOOKUP(R$1,'Asset Returns'!$F$1:$N$109,ROW(),0)</f>
        <v>-4.2190969652109556E-2</v>
      </c>
      <c r="S105" s="154">
        <f>HLOOKUP(S$1,'Asset Returns'!$F$1:$N$109,ROW(),0)</f>
        <v>-4.0794522022999602E-2</v>
      </c>
      <c r="T105" s="154">
        <f>HLOOKUP(T$1,'Asset Returns'!$F$1:$N$109,ROW(),0)</f>
        <v>2.165458723705127E-2</v>
      </c>
      <c r="U105" s="154">
        <f>HLOOKUP(U$1,'Asset Returns'!$F$1:$N$109,ROW(),0)</f>
        <v>7.6957381794768409E-2</v>
      </c>
      <c r="V105" s="273">
        <f>IF(IF(Equity!$J$10="no",AA105,AF105)=0,NA(),IF(Equity!$J$10="no",AA105,AF105))</f>
        <v>-0.15981526170481475</v>
      </c>
      <c r="W105" s="273">
        <f>IF(IF(Equity!$J$10="no",AB105,AG105)=0,NA(),IF(Equity!$J$10="no",AB105,AG105))</f>
        <v>-0.94733457669941068</v>
      </c>
      <c r="X105" s="273">
        <f>IF(IF(Equity!$J$10="no",AC105,AH105)=0,NA(),IF(Equity!$J$10="no",AC105,AH105))</f>
        <v>1.0422682717167513</v>
      </c>
      <c r="Y105" s="273">
        <f>IF(IF(Equity!$J$10="no",AD105,AI105)=0,NA(),IF(Equity!$J$10="no",AD105,AI105))</f>
        <v>0.31474769627878452</v>
      </c>
      <c r="Z105" s="273">
        <f>IF(IF(Equity!$J$10="no",AE105,AJ105)=0,NA(),IF(Equity!$J$10="no",AE105,AJ105))</f>
        <v>0.14325084038609218</v>
      </c>
      <c r="AA105" s="274">
        <f ca="1">Equity!$R$34</f>
        <v>0.64097224418739052</v>
      </c>
      <c r="AB105" s="274">
        <f ca="1">Equity!$R$36</f>
        <v>-0.78557102570241866</v>
      </c>
      <c r="AC105" s="274">
        <f ca="1">Equity!$R$38</f>
        <v>0.9378377404978776</v>
      </c>
      <c r="AD105" s="274">
        <f ca="1">Equity!$R$40</f>
        <v>0.17519882647973573</v>
      </c>
      <c r="AE105" s="274">
        <f ca="1">Equity!$R$42</f>
        <v>7.3760094442444454E-2</v>
      </c>
      <c r="AF105" s="274">
        <f>INDEX(LINEST(Q46:Q105,'AC2'!$F46:$J105,1,1),1,1)</f>
        <v>-0.15981526170481475</v>
      </c>
      <c r="AG105" s="274">
        <f>INDEX(LINEST(R46:R105,'AC2'!$F46:$J105,1,1),1,1)</f>
        <v>-0.94733457669941068</v>
      </c>
      <c r="AH105" s="274">
        <f>INDEX(LINEST(S46:S105,'AC2'!$F46:$J105,1,1),1,1)</f>
        <v>1.0422682717167513</v>
      </c>
      <c r="AI105" s="274">
        <f>INDEX(LINEST(T46:T105,'AC2'!$F46:$J105,1,1),1,1)</f>
        <v>0.31474769627878452</v>
      </c>
      <c r="AJ105" s="274">
        <f>INDEX(LINEST(U46:U105,'AC2'!$F46:$J105,1,1),1,1)</f>
        <v>0.14325084038609218</v>
      </c>
      <c r="AK105" s="154"/>
      <c r="AL105" s="421">
        <v>43343</v>
      </c>
      <c r="AM105" s="154">
        <f>HLOOKUP(AM$1,'Asset Returns'!$F$1:$ZS$109,ROW(),0)</f>
        <v>7.1027191471717543E-4</v>
      </c>
      <c r="AN105" s="154">
        <f>HLOOKUP(AN$1,'Asset Returns'!$F$1:$ZS$109,ROW(),0)</f>
        <v>7.6447003521442625E-3</v>
      </c>
      <c r="AO105" s="273">
        <f ca="1">IF(IF(Bonds!$J$10="no",AQ105,AS105)=0,NA(),IF(Bonds!$J$10="no",AQ105,AS105))</f>
        <v>-0.12498736259259137</v>
      </c>
      <c r="AP105" s="273">
        <f ca="1">IF(IF(Bonds!$J$10="no",AR105,AT105)=0,NA(),IF(Bonds!$J$10="no",AR105,AT105))</f>
        <v>0.19970923689173462</v>
      </c>
      <c r="AQ105" s="273">
        <f ca="1">Bonds!$P$32</f>
        <v>-0.12498736259259137</v>
      </c>
      <c r="AR105" s="273">
        <f ca="1">Bonds!$P$34</f>
        <v>0.19970923689173462</v>
      </c>
      <c r="AS105" s="274">
        <f>INDEX(LINEST(AM46:AM105,'AC2'!$F46:$J105,1,1),1,1)</f>
        <v>5.4711748010589804E-2</v>
      </c>
      <c r="AT105" s="274">
        <f>INDEX(LINEST(AN46:AN105,'AC2'!$F46:$J105,1,1),1,1)</f>
        <v>0.31961285046401461</v>
      </c>
      <c r="AU105" s="154"/>
      <c r="AV105" s="421">
        <v>43343</v>
      </c>
      <c r="AW105" s="154">
        <f>HLOOKUP(AW$1,'Asset Returns'!$F$1:$ZS$109,ROW(),0)</f>
        <v>-8.0729200000000001E-2</v>
      </c>
      <c r="AX105" s="154">
        <f>HLOOKUP(AX$1,'Asset Returns'!$F$1:$ZS$109,ROW(),0)</f>
        <v>1.22486E-2</v>
      </c>
      <c r="AY105" s="154">
        <f>HLOOKUP(AY$1,'Asset Returns'!$F$1:$ZS$109,ROW(),0)</f>
        <v>-1.3952999999999999E-3</v>
      </c>
      <c r="AZ105" s="154">
        <f>HLOOKUP(AZ$1,'Asset Returns'!$F$1:$ZS$109,ROW(),0)</f>
        <v>1.812014E-2</v>
      </c>
      <c r="BA105" s="154">
        <f>HLOOKUP(BA$1,'Asset Returns'!$F$1:$ZS$109,ROW(),0)</f>
        <v>6.0432100000000002E-2</v>
      </c>
      <c r="BB105" s="273">
        <f>IF(IF(Funds!$J$10="no",BG105,BL105)=0,NA(),IF(Funds!$J$10="no",BG105,BL105))</f>
        <v>3.1385861676428028</v>
      </c>
      <c r="BC105" s="273">
        <f>IF(IF(Funds!$J$10="no",BH105,BM105)=0,NA(),IF(Funds!$J$10="no",BH105,BM105))</f>
        <v>2.0334522770575021E-2</v>
      </c>
      <c r="BD105" s="273">
        <f>IF(IF(Funds!$J$10="no",BI105,BN105)=0,NA(),IF(Funds!$J$10="no",BI105,BN105))</f>
        <v>-0.25264219092852214</v>
      </c>
      <c r="BE105" s="273">
        <f>IF(IF(Funds!$J$10="no",BJ105,BO105)=0,NA(),IF(Funds!$J$10="no",BJ105,BO105))</f>
        <v>-6.6950911635137597E-2</v>
      </c>
      <c r="BF105" s="273">
        <f>IF(IF(Funds!$J$10="no",BK105,BP105)=0,NA(),IF(Funds!$J$10="no",BK105,BP105))</f>
        <v>-2.0593588073780791</v>
      </c>
      <c r="BG105" s="274">
        <f ca="1">Funds!$R$34</f>
        <v>2.5919346055080732</v>
      </c>
      <c r="BH105" s="274">
        <f ca="1">Funds!$R$36</f>
        <v>1.3378677483181089E-2</v>
      </c>
      <c r="BI105" s="274">
        <f ca="1">Funds!$R$38</f>
        <v>-0.15972963753204919</v>
      </c>
      <c r="BJ105" s="274">
        <f ca="1">Funds!$R$40</f>
        <v>-0.16887551350866659</v>
      </c>
      <c r="BK105" s="274">
        <f ca="1">Funds!$R$42</f>
        <v>-1.9222891726906419</v>
      </c>
      <c r="BL105" s="274">
        <f>INDEX(LINEST(AW46:AW105,'AC2'!$F46:$J105,1,1),1,1)</f>
        <v>3.1385861676428028</v>
      </c>
      <c r="BM105" s="274">
        <f>INDEX(LINEST(AX46:AX105,'AC2'!$F46:$J105,1,1),1,1)</f>
        <v>2.0334522770575021E-2</v>
      </c>
      <c r="BN105" s="274">
        <f>INDEX(LINEST(AY46:AY105,'AC2'!$F46:$J105,1,1),1,1)</f>
        <v>-0.25264219092852214</v>
      </c>
      <c r="BO105" s="274">
        <f>INDEX(LINEST(AZ46:AZ105,'AC2'!$F46:$J105,1,1),1,1)</f>
        <v>-6.6950911635137597E-2</v>
      </c>
      <c r="BP105" s="274">
        <f>INDEX(LINEST(BA46:BA105,'AC2'!$F46:$J105,1,1),1,1)</f>
        <v>-2.0593588073780791</v>
      </c>
      <c r="BR105" s="154"/>
      <c r="BT105" s="154"/>
      <c r="CG105" s="218"/>
      <c r="CH105" s="154"/>
      <c r="CJ105" s="154"/>
      <c r="CL105" s="154"/>
      <c r="CN105" s="154"/>
      <c r="CP105" s="154"/>
      <c r="CR105" s="154"/>
      <c r="CT105" s="154"/>
    </row>
    <row r="106" spans="6:98">
      <c r="F106" s="421">
        <v>43373</v>
      </c>
      <c r="G106" s="272">
        <f>BMG!F106</f>
        <v>-2.8105999999999999E-3</v>
      </c>
      <c r="H106" s="272" t="e">
        <f>IF('Carbon Risk Factor BMG'!$G$10="yes",AVERAGE(AC!$G70:$G105),NA())</f>
        <v>#N/A</v>
      </c>
      <c r="I106" s="272" t="e">
        <f>IF('Carbon Risk Factor BMG'!$G$11="yes",MIN(AC!$G70:$G105),NA())</f>
        <v>#N/A</v>
      </c>
      <c r="J106" s="272" t="e">
        <f>IF('Carbon Risk Factor BMG'!$G$12="yes",MAX(AC!$G70:$G105),NA())</f>
        <v>#N/A</v>
      </c>
      <c r="K106" s="272" t="e">
        <f>IF('Carbon Risk Factor BMG'!$G$13="yes",_xlfn.STDEV.S(AC!$G70:$G105),NA())</f>
        <v>#N/A</v>
      </c>
      <c r="L106" s="272" t="e">
        <f>IF('Carbon Risk Factor BMG'!$G$14="yes",_xlfn.PERCENTILE.INC(AC!$G70:$G105,'Carbon Risk Factor BMG'!$H$14),NA())</f>
        <v>#N/A</v>
      </c>
      <c r="M106" s="272" t="e">
        <f>IF('Carbon Risk Factor BMG'!$G$15="yes",_xlfn.PERCENTILE.INC(AC!$G70:$G105,'Carbon Risk Factor BMG'!$H$15),NA())</f>
        <v>#N/A</v>
      </c>
      <c r="N106" s="272">
        <f t="shared" si="29"/>
        <v>-0.21634785778569154</v>
      </c>
      <c r="P106" s="421">
        <v>43373</v>
      </c>
      <c r="Q106" s="154">
        <f>HLOOKUP(Q$1,'Asset Returns'!$F$1:$N$109,ROW(),0)</f>
        <v>-0.18186680930730148</v>
      </c>
      <c r="R106" s="154">
        <f>HLOOKUP(R$1,'Asset Returns'!$F$1:$N$109,ROW(),0)</f>
        <v>1.3523956723338504E-2</v>
      </c>
      <c r="S106" s="154">
        <f>HLOOKUP(S$1,'Asset Returns'!$F$1:$N$109,ROW(),0)</f>
        <v>8.0302539572333798E-2</v>
      </c>
      <c r="T106" s="154">
        <f>HLOOKUP(T$1,'Asset Returns'!$F$1:$N$109,ROW(),0)</f>
        <v>3.2289825697559893E-2</v>
      </c>
      <c r="U106" s="154">
        <f>HLOOKUP(U$1,'Asset Returns'!$F$1:$N$109,ROW(),0)</f>
        <v>2.4439102612316299E-2</v>
      </c>
      <c r="V106" s="273">
        <f>IF(IF(Equity!$J$10="no",AA106,AF106)=0,NA(),IF(Equity!$J$10="no",AA106,AF106))</f>
        <v>-0.12442112083850319</v>
      </c>
      <c r="W106" s="273">
        <f>IF(IF(Equity!$J$10="no",AB106,AG106)=0,NA(),IF(Equity!$J$10="no",AB106,AG106))</f>
        <v>-0.95721291647558682</v>
      </c>
      <c r="X106" s="273">
        <f>IF(IF(Equity!$J$10="no",AC106,AH106)=0,NA(),IF(Equity!$J$10="no",AC106,AH106))</f>
        <v>1.0074681370397032</v>
      </c>
      <c r="Y106" s="273">
        <f>IF(IF(Equity!$J$10="no",AD106,AI106)=0,NA(),IF(Equity!$J$10="no",AD106,AI106))</f>
        <v>0.28250189754060367</v>
      </c>
      <c r="Z106" s="273">
        <f>IF(IF(Equity!$J$10="no",AE106,AJ106)=0,NA(),IF(Equity!$J$10="no",AE106,AJ106))</f>
        <v>0.17010187480016775</v>
      </c>
      <c r="AA106" s="274">
        <f ca="1">Equity!$R$34</f>
        <v>0.64097224418739052</v>
      </c>
      <c r="AB106" s="274">
        <f ca="1">Equity!$R$36</f>
        <v>-0.78557102570241866</v>
      </c>
      <c r="AC106" s="274">
        <f ca="1">Equity!$R$38</f>
        <v>0.9378377404978776</v>
      </c>
      <c r="AD106" s="274">
        <f ca="1">Equity!$R$40</f>
        <v>0.17519882647973573</v>
      </c>
      <c r="AE106" s="274">
        <f ca="1">Equity!$R$42</f>
        <v>7.3760094442444454E-2</v>
      </c>
      <c r="AF106" s="274">
        <f>INDEX(LINEST(Q47:Q106,'AC2'!$F47:$J106,1,1),1,1)</f>
        <v>-0.12442112083850319</v>
      </c>
      <c r="AG106" s="274">
        <f>INDEX(LINEST(R47:R106,'AC2'!$F47:$J106,1,1),1,1)</f>
        <v>-0.95721291647558682</v>
      </c>
      <c r="AH106" s="274">
        <f>INDEX(LINEST(S47:S106,'AC2'!$F47:$J106,1,1),1,1)</f>
        <v>1.0074681370397032</v>
      </c>
      <c r="AI106" s="274">
        <f>INDEX(LINEST(T47:T106,'AC2'!$F47:$J106,1,1),1,1)</f>
        <v>0.28250189754060367</v>
      </c>
      <c r="AJ106" s="274">
        <f>INDEX(LINEST(U47:U106,'AC2'!$F47:$J106,1,1),1,1)</f>
        <v>0.17010187480016775</v>
      </c>
      <c r="AK106" s="154"/>
      <c r="AL106" s="421">
        <v>43373</v>
      </c>
      <c r="AM106" s="154">
        <f>HLOOKUP(AM$1,'Asset Returns'!$F$1:$ZS$109,ROW(),0)</f>
        <v>2.1380969429736219E-2</v>
      </c>
      <c r="AN106" s="154">
        <f>HLOOKUP(AN$1,'Asset Returns'!$F$1:$ZS$109,ROW(),0)</f>
        <v>1.0524531682553073E-2</v>
      </c>
      <c r="AO106" s="273">
        <f ca="1">IF(IF(Bonds!$J$10="no",AQ106,AS106)=0,NA(),IF(Bonds!$J$10="no",AQ106,AS106))</f>
        <v>-0.12498736259259137</v>
      </c>
      <c r="AP106" s="273">
        <f ca="1">IF(IF(Bonds!$J$10="no",AR106,AT106)=0,NA(),IF(Bonds!$J$10="no",AR106,AT106))</f>
        <v>0.19970923689173462</v>
      </c>
      <c r="AQ106" s="273">
        <f ca="1">Bonds!$P$32</f>
        <v>-0.12498736259259137</v>
      </c>
      <c r="AR106" s="273">
        <f ca="1">Bonds!$P$34</f>
        <v>0.19970923689173462</v>
      </c>
      <c r="AS106" s="274">
        <f>INDEX(LINEST(AM47:AM106,'AC2'!$F47:$J106,1,1),1,1)</f>
        <v>8.8244099049705094E-2</v>
      </c>
      <c r="AT106" s="274">
        <f>INDEX(LINEST(AN47:AN106,'AC2'!$F47:$J106,1,1),1,1)</f>
        <v>0.34707777555135477</v>
      </c>
      <c r="AU106" s="154"/>
      <c r="AV106" s="421">
        <v>43373</v>
      </c>
      <c r="AW106" s="154">
        <f>HLOOKUP(AW$1,'Asset Returns'!$F$1:$ZS$109,ROW(),0)</f>
        <v>-1.4164300000000001E-2</v>
      </c>
      <c r="AX106" s="154">
        <f>HLOOKUP(AX$1,'Asset Returns'!$F$1:$ZS$109,ROW(),0)</f>
        <v>5.4280999999999999E-3</v>
      </c>
      <c r="AY106" s="154">
        <f>HLOOKUP(AY$1,'Asset Returns'!$F$1:$ZS$109,ROW(),0)</f>
        <v>-6.4568499999999992E-3</v>
      </c>
      <c r="AZ106" s="154">
        <f>HLOOKUP(AZ$1,'Asset Returns'!$F$1:$ZS$109,ROW(),0)</f>
        <v>1.7245630000000001E-2</v>
      </c>
      <c r="BA106" s="154">
        <f>HLOOKUP(BA$1,'Asset Returns'!$F$1:$ZS$109,ROW(),0)</f>
        <v>-5.1624999999999997E-2</v>
      </c>
      <c r="BB106" s="273">
        <f>IF(IF(Funds!$J$10="no",BG106,BL106)=0,NA(),IF(Funds!$J$10="no",BG106,BL106))</f>
        <v>2.9635345430086244</v>
      </c>
      <c r="BC106" s="273">
        <f>IF(IF(Funds!$J$10="no",BH106,BM106)=0,NA(),IF(Funds!$J$10="no",BH106,BM106))</f>
        <v>1.8632708930007773E-2</v>
      </c>
      <c r="BD106" s="273">
        <f>IF(IF(Funds!$J$10="no",BI106,BN106)=0,NA(),IF(Funds!$J$10="no",BI106,BN106))</f>
        <v>-0.24464835111363656</v>
      </c>
      <c r="BE106" s="273">
        <f>IF(IF(Funds!$J$10="no",BJ106,BO106)=0,NA(),IF(Funds!$J$10="no",BJ106,BO106))</f>
        <v>-7.4811517813099249E-2</v>
      </c>
      <c r="BF106" s="273">
        <f>IF(IF(Funds!$J$10="no",BK106,BP106)=0,NA(),IF(Funds!$J$10="no",BK106,BP106))</f>
        <v>-2.0626055205838272</v>
      </c>
      <c r="BG106" s="274">
        <f ca="1">Funds!$R$34</f>
        <v>2.5919346055080732</v>
      </c>
      <c r="BH106" s="274">
        <f ca="1">Funds!$R$36</f>
        <v>1.3378677483181089E-2</v>
      </c>
      <c r="BI106" s="274">
        <f ca="1">Funds!$R$38</f>
        <v>-0.15972963753204919</v>
      </c>
      <c r="BJ106" s="274">
        <f ca="1">Funds!$R$40</f>
        <v>-0.16887551350866659</v>
      </c>
      <c r="BK106" s="274">
        <f ca="1">Funds!$R$42</f>
        <v>-1.9222891726906419</v>
      </c>
      <c r="BL106" s="274">
        <f>INDEX(LINEST(AW47:AW106,'AC2'!$F47:$J106,1,1),1,1)</f>
        <v>2.9635345430086244</v>
      </c>
      <c r="BM106" s="274">
        <f>INDEX(LINEST(AX47:AX106,'AC2'!$F47:$J106,1,1),1,1)</f>
        <v>1.8632708930007773E-2</v>
      </c>
      <c r="BN106" s="274">
        <f>INDEX(LINEST(AY47:AY106,'AC2'!$F47:$J106,1,1),1,1)</f>
        <v>-0.24464835111363656</v>
      </c>
      <c r="BO106" s="274">
        <f>INDEX(LINEST(AZ47:AZ106,'AC2'!$F47:$J106,1,1),1,1)</f>
        <v>-7.4811517813099249E-2</v>
      </c>
      <c r="BP106" s="274">
        <f>INDEX(LINEST(BA47:BA106,'AC2'!$F47:$J106,1,1),1,1)</f>
        <v>-2.0626055205838272</v>
      </c>
      <c r="BR106" s="154"/>
      <c r="BT106" s="154"/>
      <c r="CG106" s="218"/>
      <c r="CH106" s="154"/>
      <c r="CJ106" s="154"/>
      <c r="CL106" s="154"/>
      <c r="CN106" s="154"/>
      <c r="CP106" s="154"/>
      <c r="CR106" s="154"/>
      <c r="CT106" s="154"/>
    </row>
    <row r="107" spans="6:98">
      <c r="F107" s="421">
        <v>43404</v>
      </c>
      <c r="G107" s="272">
        <f>BMG!F107</f>
        <v>-5.9461999999999996E-3</v>
      </c>
      <c r="H107" s="272" t="e">
        <f>IF('Carbon Risk Factor BMG'!$G$10="yes",AVERAGE(AC!$G71:$G106),NA())</f>
        <v>#N/A</v>
      </c>
      <c r="I107" s="272" t="e">
        <f>IF('Carbon Risk Factor BMG'!$G$11="yes",MIN(AC!$G71:$G106),NA())</f>
        <v>#N/A</v>
      </c>
      <c r="J107" s="272" t="e">
        <f>IF('Carbon Risk Factor BMG'!$G$12="yes",MAX(AC!$G71:$G106),NA())</f>
        <v>#N/A</v>
      </c>
      <c r="K107" s="272" t="e">
        <f>IF('Carbon Risk Factor BMG'!$G$13="yes",_xlfn.STDEV.S(AC!$G71:$G106),NA())</f>
        <v>#N/A</v>
      </c>
      <c r="L107" s="272" t="e">
        <f>IF('Carbon Risk Factor BMG'!$G$14="yes",_xlfn.PERCENTILE.INC(AC!$G71:$G106,'Carbon Risk Factor BMG'!$H$14),NA())</f>
        <v>#N/A</v>
      </c>
      <c r="M107" s="272" t="e">
        <f>IF('Carbon Risk Factor BMG'!$G$15="yes",_xlfn.PERCENTILE.INC(AC!$G71:$G106,'Carbon Risk Factor BMG'!$H$15),NA())</f>
        <v>#N/A</v>
      </c>
      <c r="N107" s="272">
        <f t="shared" si="29"/>
        <v>-0.22100761015372627</v>
      </c>
      <c r="P107" s="421">
        <v>43404</v>
      </c>
      <c r="Q107" s="154">
        <f>HLOOKUP(Q$1,'Asset Returns'!$F$1:$N$109,ROW(),0)</f>
        <v>-0.21510297482837526</v>
      </c>
      <c r="R107" s="154">
        <f>HLOOKUP(R$1,'Asset Returns'!$F$1:$N$109,ROW(),0)</f>
        <v>-6.1570720548989821E-2</v>
      </c>
      <c r="S107" s="154">
        <f>HLOOKUP(S$1,'Asset Returns'!$F$1:$N$109,ROW(),0)</f>
        <v>-5.6747514949071487E-2</v>
      </c>
      <c r="T107" s="154">
        <f>HLOOKUP(T$1,'Asset Returns'!$F$1:$N$109,ROW(),0)</f>
        <v>-0.23662586749781511</v>
      </c>
      <c r="U107" s="154">
        <f>HLOOKUP(U$1,'Asset Returns'!$F$1:$N$109,ROW(),0)</f>
        <v>-8.9608817637907068E-2</v>
      </c>
      <c r="V107" s="273">
        <f>IF(IF(Equity!$J$10="no",AA107,AF107)=0,NA(),IF(Equity!$J$10="no",AA107,AF107))</f>
        <v>-0.13326484913803927</v>
      </c>
      <c r="W107" s="273">
        <f>IF(IF(Equity!$J$10="no",AB107,AG107)=0,NA(),IF(Equity!$J$10="no",AB107,AG107))</f>
        <v>-0.95373203458175737</v>
      </c>
      <c r="X107" s="273">
        <f>IF(IF(Equity!$J$10="no",AC107,AH107)=0,NA(),IF(Equity!$J$10="no",AC107,AH107))</f>
        <v>0.99903213969699511</v>
      </c>
      <c r="Y107" s="273">
        <f>IF(IF(Equity!$J$10="no",AD107,AI107)=0,NA(),IF(Equity!$J$10="no",AD107,AI107))</f>
        <v>0.32240378624391558</v>
      </c>
      <c r="Z107" s="273">
        <f>IF(IF(Equity!$J$10="no",AE107,AJ107)=0,NA(),IF(Equity!$J$10="no",AE107,AJ107))</f>
        <v>0.15923740716470849</v>
      </c>
      <c r="AA107" s="274">
        <f ca="1">Equity!$R$34</f>
        <v>0.64097224418739052</v>
      </c>
      <c r="AB107" s="274">
        <f ca="1">Equity!$R$36</f>
        <v>-0.78557102570241866</v>
      </c>
      <c r="AC107" s="274">
        <f ca="1">Equity!$R$38</f>
        <v>0.9378377404978776</v>
      </c>
      <c r="AD107" s="274">
        <f ca="1">Equity!$R$40</f>
        <v>0.17519882647973573</v>
      </c>
      <c r="AE107" s="274">
        <f ca="1">Equity!$R$42</f>
        <v>7.3760094442444454E-2</v>
      </c>
      <c r="AF107" s="274">
        <f>INDEX(LINEST(Q48:Q107,'AC2'!$F48:$J107,1,1),1,1)</f>
        <v>-0.13326484913803927</v>
      </c>
      <c r="AG107" s="274">
        <f>INDEX(LINEST(R48:R107,'AC2'!$F48:$J107,1,1),1,1)</f>
        <v>-0.95373203458175737</v>
      </c>
      <c r="AH107" s="274">
        <f>INDEX(LINEST(S48:S107,'AC2'!$F48:$J107,1,1),1,1)</f>
        <v>0.99903213969699511</v>
      </c>
      <c r="AI107" s="274">
        <f>INDEX(LINEST(T48:T107,'AC2'!$F48:$J107,1,1),1,1)</f>
        <v>0.32240378624391558</v>
      </c>
      <c r="AJ107" s="274">
        <f>INDEX(LINEST(U48:U107,'AC2'!$F48:$J107,1,1),1,1)</f>
        <v>0.15923740716470849</v>
      </c>
      <c r="AK107" s="154"/>
      <c r="AL107" s="421">
        <v>43404</v>
      </c>
      <c r="AM107" s="154">
        <f>HLOOKUP(AM$1,'Asset Returns'!$F$1:$ZS$109,ROW(),0)</f>
        <v>-1.7188259096861946E-3</v>
      </c>
      <c r="AN107" s="154">
        <f>HLOOKUP(AN$1,'Asset Returns'!$F$1:$ZS$109,ROW(),0)</f>
        <v>-2.923205942254703E-2</v>
      </c>
      <c r="AO107" s="273">
        <f ca="1">IF(IF(Bonds!$J$10="no",AQ107,AS107)=0,NA(),IF(Bonds!$J$10="no",AQ107,AS107))</f>
        <v>-0.12498736259259137</v>
      </c>
      <c r="AP107" s="273">
        <f ca="1">IF(IF(Bonds!$J$10="no",AR107,AT107)=0,NA(),IF(Bonds!$J$10="no",AR107,AT107))</f>
        <v>0.19970923689173462</v>
      </c>
      <c r="AQ107" s="273">
        <f ca="1">Bonds!$P$32</f>
        <v>-0.12498736259259137</v>
      </c>
      <c r="AR107" s="273">
        <f ca="1">Bonds!$P$34</f>
        <v>0.19970923689173462</v>
      </c>
      <c r="AS107" s="274">
        <f>INDEX(LINEST(AM48:AM107,'AC2'!$F48:$J107,1,1),1,1)</f>
        <v>8.9063093947931868E-2</v>
      </c>
      <c r="AT107" s="274">
        <f>INDEX(LINEST(AN48:AN107,'AC2'!$F48:$J107,1,1),1,1)</f>
        <v>0.35478482745698031</v>
      </c>
      <c r="AU107" s="154"/>
      <c r="AV107" s="421">
        <v>43404</v>
      </c>
      <c r="AW107" s="154">
        <f>HLOOKUP(AW$1,'Asset Returns'!$F$1:$ZS$109,ROW(),0)</f>
        <v>-6.0344800000000004E-2</v>
      </c>
      <c r="AX107" s="154">
        <f>HLOOKUP(AX$1,'Asset Returns'!$F$1:$ZS$109,ROW(),0)</f>
        <v>-7.3672199999999993E-2</v>
      </c>
      <c r="AY107" s="154">
        <f>HLOOKUP(AY$1,'Asset Returns'!$F$1:$ZS$109,ROW(),0)</f>
        <v>-9.7020090000000003E-2</v>
      </c>
      <c r="AZ107" s="154">
        <f>HLOOKUP(AZ$1,'Asset Returns'!$F$1:$ZS$109,ROW(),0)</f>
        <v>-8.1013750000000009E-2</v>
      </c>
      <c r="BA107" s="154">
        <f>HLOOKUP(BA$1,'Asset Returns'!$F$1:$ZS$109,ROW(),0)</f>
        <v>0.26167280000000004</v>
      </c>
      <c r="BB107" s="273">
        <f>IF(IF(Funds!$J$10="no",BG107,BL107)=0,NA(),IF(Funds!$J$10="no",BG107,BL107))</f>
        <v>2.9537749745696922</v>
      </c>
      <c r="BC107" s="273">
        <f>IF(IF(Funds!$J$10="no",BH107,BM107)=0,NA(),IF(Funds!$J$10="no",BH107,BM107))</f>
        <v>1.7845271468767028E-2</v>
      </c>
      <c r="BD107" s="273">
        <f>IF(IF(Funds!$J$10="no",BI107,BN107)=0,NA(),IF(Funds!$J$10="no",BI107,BN107))</f>
        <v>-0.24250572402788567</v>
      </c>
      <c r="BE107" s="273">
        <f>IF(IF(Funds!$J$10="no",BJ107,BO107)=0,NA(),IF(Funds!$J$10="no",BJ107,BO107))</f>
        <v>-7.7118669964290787E-2</v>
      </c>
      <c r="BF107" s="273">
        <f>IF(IF(Funds!$J$10="no",BK107,BP107)=0,NA(),IF(Funds!$J$10="no",BK107,BP107))</f>
        <v>-2.090408349796915</v>
      </c>
      <c r="BG107" s="274">
        <f ca="1">Funds!$R$34</f>
        <v>2.5919346055080732</v>
      </c>
      <c r="BH107" s="274">
        <f ca="1">Funds!$R$36</f>
        <v>1.3378677483181089E-2</v>
      </c>
      <c r="BI107" s="274">
        <f ca="1">Funds!$R$38</f>
        <v>-0.15972963753204919</v>
      </c>
      <c r="BJ107" s="274">
        <f ca="1">Funds!$R$40</f>
        <v>-0.16887551350866659</v>
      </c>
      <c r="BK107" s="274">
        <f ca="1">Funds!$R$42</f>
        <v>-1.9222891726906419</v>
      </c>
      <c r="BL107" s="274">
        <f>INDEX(LINEST(AW48:AW107,'AC2'!$F48:$J107,1,1),1,1)</f>
        <v>2.9537749745696922</v>
      </c>
      <c r="BM107" s="274">
        <f>INDEX(LINEST(AX48:AX107,'AC2'!$F48:$J107,1,1),1,1)</f>
        <v>1.7845271468767028E-2</v>
      </c>
      <c r="BN107" s="274">
        <f>INDEX(LINEST(AY48:AY107,'AC2'!$F48:$J107,1,1),1,1)</f>
        <v>-0.24250572402788567</v>
      </c>
      <c r="BO107" s="274">
        <f>INDEX(LINEST(AZ48:AZ107,'AC2'!$F48:$J107,1,1),1,1)</f>
        <v>-7.7118669964290787E-2</v>
      </c>
      <c r="BP107" s="274">
        <f>INDEX(LINEST(BA48:BA107,'AC2'!$F48:$J107,1,1),1,1)</f>
        <v>-2.090408349796915</v>
      </c>
      <c r="BR107" s="154"/>
      <c r="BT107" s="154"/>
      <c r="CG107" s="218"/>
      <c r="CH107" s="154"/>
      <c r="CJ107" s="154"/>
      <c r="CL107" s="154"/>
      <c r="CN107" s="154"/>
      <c r="CP107" s="154"/>
      <c r="CR107" s="154"/>
      <c r="CT107" s="154"/>
    </row>
    <row r="108" spans="6:98">
      <c r="F108" s="421">
        <v>43434</v>
      </c>
      <c r="G108" s="272">
        <f>BMG!F108</f>
        <v>2.9488000000000001E-3</v>
      </c>
      <c r="H108" s="272" t="e">
        <f>IF('Carbon Risk Factor BMG'!$G$10="yes",AVERAGE(AC!$G72:$G107),NA())</f>
        <v>#N/A</v>
      </c>
      <c r="I108" s="272" t="e">
        <f>IF('Carbon Risk Factor BMG'!$G$11="yes",MIN(AC!$G72:$G107),NA())</f>
        <v>#N/A</v>
      </c>
      <c r="J108" s="272" t="e">
        <f>IF('Carbon Risk Factor BMG'!$G$12="yes",MAX(AC!$G72:$G107),NA())</f>
        <v>#N/A</v>
      </c>
      <c r="K108" s="272" t="e">
        <f>IF('Carbon Risk Factor BMG'!$G$13="yes",_xlfn.STDEV.S(AC!$G72:$G107),NA())</f>
        <v>#N/A</v>
      </c>
      <c r="L108" s="272" t="e">
        <f>IF('Carbon Risk Factor BMG'!$G$14="yes",_xlfn.PERCENTILE.INC(AC!$G72:$G107,'Carbon Risk Factor BMG'!$H$14),NA())</f>
        <v>#N/A</v>
      </c>
      <c r="M108" s="272" t="e">
        <f>IF('Carbon Risk Factor BMG'!$G$15="yes",_xlfn.PERCENTILE.INC(AC!$G72:$G107,'Carbon Risk Factor BMG'!$H$15),NA())</f>
        <v>#N/A</v>
      </c>
      <c r="N108" s="272">
        <f t="shared" si="29"/>
        <v>-0.21871051739454761</v>
      </c>
      <c r="P108" s="421">
        <v>43434</v>
      </c>
      <c r="Q108" s="154">
        <f>HLOOKUP(Q$1,'Asset Returns'!$F$1:$N$109,ROW(),0)</f>
        <v>1.8742190753852528E-2</v>
      </c>
      <c r="R108" s="154">
        <f>HLOOKUP(R$1,'Asset Returns'!$F$1:$N$109,ROW(),0)</f>
        <v>2.2140970952671202E-2</v>
      </c>
      <c r="S108" s="154">
        <f>HLOOKUP(S$1,'Asset Returns'!$F$1:$N$109,ROW(),0)</f>
        <v>-7.0819242747742317E-2</v>
      </c>
      <c r="T108" s="154">
        <f>HLOOKUP(T$1,'Asset Returns'!$F$1:$N$109,ROW(),0)</f>
        <v>9.0284602998682573E-2</v>
      </c>
      <c r="U108" s="154">
        <f>HLOOKUP(U$1,'Asset Returns'!$F$1:$N$109,ROW(),0)</f>
        <v>2.087436054327152E-2</v>
      </c>
      <c r="V108" s="273">
        <f>IF(IF(Equity!$J$10="no",AA108,AF108)=0,NA(),IF(Equity!$J$10="no",AA108,AF108))</f>
        <v>-0.10590038781659428</v>
      </c>
      <c r="W108" s="273">
        <f>IF(IF(Equity!$J$10="no",AB108,AG108)=0,NA(),IF(Equity!$J$10="no",AB108,AG108))</f>
        <v>-1.0432862019060705</v>
      </c>
      <c r="X108" s="273">
        <f>IF(IF(Equity!$J$10="no",AC108,AH108)=0,NA(),IF(Equity!$J$10="no",AC108,AH108))</f>
        <v>0.97267943816002544</v>
      </c>
      <c r="Y108" s="273">
        <f>IF(IF(Equity!$J$10="no",AD108,AI108)=0,NA(),IF(Equity!$J$10="no",AD108,AI108))</f>
        <v>0.4005432943121211</v>
      </c>
      <c r="Z108" s="273">
        <f>IF(IF(Equity!$J$10="no",AE108,AJ108)=0,NA(),IF(Equity!$J$10="no",AE108,AJ108))</f>
        <v>0.15018450396511218</v>
      </c>
      <c r="AA108" s="274">
        <f ca="1">Equity!$R$34</f>
        <v>0.64097224418739052</v>
      </c>
      <c r="AB108" s="274">
        <f ca="1">Equity!$R$36</f>
        <v>-0.78557102570241866</v>
      </c>
      <c r="AC108" s="274">
        <f ca="1">Equity!$R$38</f>
        <v>0.9378377404978776</v>
      </c>
      <c r="AD108" s="274">
        <f ca="1">Equity!$R$40</f>
        <v>0.17519882647973573</v>
      </c>
      <c r="AE108" s="274">
        <f ca="1">Equity!$R$42</f>
        <v>7.3760094442444454E-2</v>
      </c>
      <c r="AF108" s="274">
        <f>INDEX(LINEST(Q49:Q108,'AC2'!$F49:$J108,1,1),1,1)</f>
        <v>-0.10590038781659428</v>
      </c>
      <c r="AG108" s="274">
        <f>INDEX(LINEST(R49:R108,'AC2'!$F49:$J108,1,1),1,1)</f>
        <v>-1.0432862019060705</v>
      </c>
      <c r="AH108" s="274">
        <f>INDEX(LINEST(S49:S108,'AC2'!$F49:$J108,1,1),1,1)</f>
        <v>0.97267943816002544</v>
      </c>
      <c r="AI108" s="274">
        <f>INDEX(LINEST(T49:T108,'AC2'!$F49:$J108,1,1),1,1)</f>
        <v>0.4005432943121211</v>
      </c>
      <c r="AJ108" s="274">
        <f>INDEX(LINEST(U49:U108,'AC2'!$F49:$J108,1,1),1,1)</f>
        <v>0.15018450396511218</v>
      </c>
      <c r="AK108" s="154"/>
      <c r="AL108" s="421">
        <v>43434</v>
      </c>
      <c r="AM108" s="154">
        <f>HLOOKUP(AM$1,'Asset Returns'!$F$1:$ZS$109,ROW(),0)</f>
        <v>-6.2834385193266673E-4</v>
      </c>
      <c r="AN108" s="154">
        <f>HLOOKUP(AN$1,'Asset Returns'!$F$1:$ZS$109,ROW(),0)</f>
        <v>-3.0400263276975648E-2</v>
      </c>
      <c r="AO108" s="273">
        <f ca="1">IF(IF(Bonds!$J$10="no",AQ108,AS108)=0,NA(),IF(Bonds!$J$10="no",AQ108,AS108))</f>
        <v>-0.12498736259259137</v>
      </c>
      <c r="AP108" s="273">
        <f ca="1">IF(IF(Bonds!$J$10="no",AR108,AT108)=0,NA(),IF(Bonds!$J$10="no",AR108,AT108))</f>
        <v>0.19970923689173462</v>
      </c>
      <c r="AQ108" s="273">
        <f ca="1">Bonds!$P$32</f>
        <v>-0.12498736259259137</v>
      </c>
      <c r="AR108" s="273">
        <f ca="1">Bonds!$P$34</f>
        <v>0.19970923689173462</v>
      </c>
      <c r="AS108" s="274">
        <f>INDEX(LINEST(AM49:AM108,'AC2'!$F49:$J108,1,1),1,1)</f>
        <v>0.12799000096344249</v>
      </c>
      <c r="AT108" s="274">
        <f>INDEX(LINEST(AN49:AN108,'AC2'!$F49:$J108,1,1),1,1)</f>
        <v>0.28838169756622001</v>
      </c>
      <c r="AU108" s="154"/>
      <c r="AV108" s="421">
        <v>43434</v>
      </c>
      <c r="AW108" s="154">
        <f>HLOOKUP(AW$1,'Asset Returns'!$F$1:$ZS$109,ROW(),0)</f>
        <v>-6.1162099999999997E-2</v>
      </c>
      <c r="AX108" s="154">
        <f>HLOOKUP(AX$1,'Asset Returns'!$F$1:$ZS$109,ROW(),0)</f>
        <v>1.14775E-2</v>
      </c>
      <c r="AY108" s="154">
        <f>HLOOKUP(AY$1,'Asset Returns'!$F$1:$ZS$109,ROW(),0)</f>
        <v>2.4454719999999999E-2</v>
      </c>
      <c r="AZ108" s="154">
        <f>HLOOKUP(AZ$1,'Asset Returns'!$F$1:$ZS$109,ROW(),0)</f>
        <v>1.39805E-2</v>
      </c>
      <c r="BA108" s="154">
        <f>HLOOKUP(BA$1,'Asset Returns'!$F$1:$ZS$109,ROW(),0)</f>
        <v>3.7007499999999999E-2</v>
      </c>
      <c r="BB108" s="273">
        <f>IF(IF(Funds!$J$10="no",BG108,BL108)=0,NA(),IF(Funds!$J$10="no",BG108,BL108))</f>
        <v>2.8341971249126821</v>
      </c>
      <c r="BC108" s="273">
        <f>IF(IF(Funds!$J$10="no",BH108,BM108)=0,NA(),IF(Funds!$J$10="no",BH108,BM108))</f>
        <v>1.8561203675443248E-2</v>
      </c>
      <c r="BD108" s="273">
        <f>IF(IF(Funds!$J$10="no",BI108,BN108)=0,NA(),IF(Funds!$J$10="no",BI108,BN108))</f>
        <v>-0.2262036910272637</v>
      </c>
      <c r="BE108" s="273">
        <f>IF(IF(Funds!$J$10="no",BJ108,BO108)=0,NA(),IF(Funds!$J$10="no",BJ108,BO108))</f>
        <v>-7.4617825146120323E-2</v>
      </c>
      <c r="BF108" s="273">
        <f>IF(IF(Funds!$J$10="no",BK108,BP108)=0,NA(),IF(Funds!$J$10="no",BK108,BP108))</f>
        <v>-2.1085582817468724</v>
      </c>
      <c r="BG108" s="274">
        <f ca="1">Funds!$R$34</f>
        <v>2.5919346055080732</v>
      </c>
      <c r="BH108" s="274">
        <f ca="1">Funds!$R$36</f>
        <v>1.3378677483181089E-2</v>
      </c>
      <c r="BI108" s="274">
        <f ca="1">Funds!$R$38</f>
        <v>-0.15972963753204919</v>
      </c>
      <c r="BJ108" s="274">
        <f ca="1">Funds!$R$40</f>
        <v>-0.16887551350866659</v>
      </c>
      <c r="BK108" s="274">
        <f ca="1">Funds!$R$42</f>
        <v>-1.9222891726906419</v>
      </c>
      <c r="BL108" s="274">
        <f>INDEX(LINEST(AW49:AW108,'AC2'!$F49:$J108,1,1),1,1)</f>
        <v>2.8341971249126821</v>
      </c>
      <c r="BM108" s="274">
        <f>INDEX(LINEST(AX49:AX108,'AC2'!$F49:$J108,1,1),1,1)</f>
        <v>1.8561203675443248E-2</v>
      </c>
      <c r="BN108" s="274">
        <f>INDEX(LINEST(AY49:AY108,'AC2'!$F49:$J108,1,1),1,1)</f>
        <v>-0.2262036910272637</v>
      </c>
      <c r="BO108" s="274">
        <f>INDEX(LINEST(AZ49:AZ108,'AC2'!$F49:$J108,1,1),1,1)</f>
        <v>-7.4617825146120323E-2</v>
      </c>
      <c r="BP108" s="274">
        <f>INDEX(LINEST(BA49:BA108,'AC2'!$F49:$J108,1,1),1,1)</f>
        <v>-2.1085582817468724</v>
      </c>
      <c r="BR108" s="154"/>
      <c r="BT108" s="154"/>
      <c r="CG108" s="218"/>
      <c r="CN108" s="154"/>
      <c r="CP108" s="154"/>
      <c r="CR108" s="154"/>
      <c r="CT108" s="154"/>
    </row>
    <row r="109" spans="6:98">
      <c r="F109" s="421">
        <v>43465</v>
      </c>
      <c r="G109" s="272">
        <f>BMG!F109</f>
        <v>1.6858399999999999E-2</v>
      </c>
      <c r="H109" s="272" t="e">
        <f>IF('Carbon Risk Factor BMG'!$G$10="yes",AVERAGE(AC!$G73:$G108),NA())</f>
        <v>#N/A</v>
      </c>
      <c r="I109" s="272" t="e">
        <f>IF('Carbon Risk Factor BMG'!$G$11="yes",MIN(AC!$G73:$G108),NA())</f>
        <v>#N/A</v>
      </c>
      <c r="J109" s="272" t="e">
        <f>IF('Carbon Risk Factor BMG'!$G$12="yes",MAX(AC!$G73:$G108),NA())</f>
        <v>#N/A</v>
      </c>
      <c r="K109" s="272" t="e">
        <f>IF('Carbon Risk Factor BMG'!$G$13="yes",_xlfn.STDEV.S(AC!$G73:$G108),NA())</f>
        <v>#N/A</v>
      </c>
      <c r="L109" s="272" t="e">
        <f>IF('Carbon Risk Factor BMG'!$G$14="yes",_xlfn.PERCENTILE.INC(AC!$G73:$G108,'Carbon Risk Factor BMG'!$H$14),NA())</f>
        <v>#N/A</v>
      </c>
      <c r="M109" s="272" t="e">
        <f>IF('Carbon Risk Factor BMG'!$G$15="yes",_xlfn.PERCENTILE.INC(AC!$G73:$G108,'Carbon Risk Factor BMG'!$H$15),NA())</f>
        <v>#N/A</v>
      </c>
      <c r="N109" s="272">
        <f t="shared" si="29"/>
        <v>-0.20553922678099179</v>
      </c>
      <c r="P109" s="421">
        <v>43465</v>
      </c>
      <c r="Q109" s="154">
        <f>HLOOKUP(Q$1,'Asset Returns'!$F$1:$N$109,ROW(),0)</f>
        <v>2.4529844644316512E-3</v>
      </c>
      <c r="R109" s="154">
        <f>HLOOKUP(R$1,'Asset Returns'!$F$1:$N$109,ROW(),0)</f>
        <v>-2.5437201907790197E-2</v>
      </c>
      <c r="S109" s="154">
        <f>HLOOKUP(S$1,'Asset Returns'!$F$1:$N$109,ROW(),0)</f>
        <v>-4.7969404849249053E-2</v>
      </c>
      <c r="T109" s="154">
        <f>HLOOKUP(T$1,'Asset Returns'!$F$1:$N$109,ROW(),0)</f>
        <v>-8.5296853572695785E-2</v>
      </c>
      <c r="U109" s="154">
        <f>HLOOKUP(U$1,'Asset Returns'!$F$1:$N$109,ROW(),0)</f>
        <v>-9.8250783363855621E-2</v>
      </c>
      <c r="V109" s="273">
        <f>IF(IF(Equity!$J$10="no",AA109,AF109)=0,NA(),IF(Equity!$J$10="no",AA109,AF109))</f>
        <v>0.22024058631589236</v>
      </c>
      <c r="W109" s="273">
        <f>IF(IF(Equity!$J$10="no",AB109,AG109)=0,NA(),IF(Equity!$J$10="no",AB109,AG109))</f>
        <v>-0.94867376431076778</v>
      </c>
      <c r="X109" s="273">
        <f>IF(IF(Equity!$J$10="no",AC109,AH109)=0,NA(),IF(Equity!$J$10="no",AC109,AH109))</f>
        <v>0.9768367656025726</v>
      </c>
      <c r="Y109" s="273">
        <f>IF(IF(Equity!$J$10="no",AD109,AI109)=0,NA(),IF(Equity!$J$10="no",AD109,AI109))</f>
        <v>0.40952856065513221</v>
      </c>
      <c r="Z109" s="273">
        <f>IF(IF(Equity!$J$10="no",AE109,AJ109)=0,NA(),IF(Equity!$J$10="no",AE109,AJ109))</f>
        <v>0.11614563762025469</v>
      </c>
      <c r="AA109" s="274">
        <f ca="1">Equity!$R$34</f>
        <v>0.64097224418739052</v>
      </c>
      <c r="AB109" s="274">
        <f ca="1">Equity!$R$36</f>
        <v>-0.78557102570241866</v>
      </c>
      <c r="AC109" s="274">
        <f ca="1">Equity!$R$38</f>
        <v>0.9378377404978776</v>
      </c>
      <c r="AD109" s="274">
        <f ca="1">Equity!$R$40</f>
        <v>0.17519882647973573</v>
      </c>
      <c r="AE109" s="274">
        <f ca="1">Equity!$R$42</f>
        <v>7.3760094442444454E-2</v>
      </c>
      <c r="AF109" s="274">
        <f>INDEX(LINEST(Q50:Q109,'AC2'!$F50:$J109,1,1),1,1)</f>
        <v>0.22024058631589236</v>
      </c>
      <c r="AG109" s="274">
        <f>INDEX(LINEST(R50:R109,'AC2'!$F50:$J109,1,1),1,1)</f>
        <v>-0.94867376431076778</v>
      </c>
      <c r="AH109" s="274">
        <f>INDEX(LINEST(S50:S109,'AC2'!$F50:$J109,1,1),1,1)</f>
        <v>0.9768367656025726</v>
      </c>
      <c r="AI109" s="274">
        <f>INDEX(LINEST(T50:T109,'AC2'!$F50:$J109,1,1),1,1)</f>
        <v>0.40952856065513221</v>
      </c>
      <c r="AJ109" s="274">
        <f>INDEX(LINEST(U50:U109,'AC2'!$F50:$J109,1,1),1,1)</f>
        <v>0.11614563762025469</v>
      </c>
      <c r="AK109" s="154"/>
      <c r="AL109" s="421">
        <v>43465</v>
      </c>
      <c r="AM109" s="154">
        <f>HLOOKUP(AM$1,'Asset Returns'!$F$1:$ZS$109,ROW(),0)</f>
        <v>2.4265007289056451E-2</v>
      </c>
      <c r="AN109" s="154">
        <f>HLOOKUP(AN$1,'Asset Returns'!$F$1:$ZS$109,ROW(),0)</f>
        <v>3.6694951209164106E-2</v>
      </c>
      <c r="AO109" s="273">
        <f ca="1">IF(IF(Bonds!$J$10="no",AQ109,AS109)=0,NA(),IF(Bonds!$J$10="no",AQ109,AS109))</f>
        <v>-0.12498736259259137</v>
      </c>
      <c r="AP109" s="273">
        <f ca="1">IF(IF(Bonds!$J$10="no",AR109,AT109)=0,NA(),IF(Bonds!$J$10="no",AR109,AT109))</f>
        <v>0.19970923689173462</v>
      </c>
      <c r="AQ109" s="273">
        <f ca="1">Bonds!$P$32</f>
        <v>-0.12498736259259137</v>
      </c>
      <c r="AR109" s="273">
        <f ca="1">Bonds!$P$34</f>
        <v>0.19970923689173462</v>
      </c>
      <c r="AS109" s="274">
        <f>INDEX(LINEST(AM50:AM109,'AC2'!$F50:$J109,1,1),1,1)</f>
        <v>0.14830217878904084</v>
      </c>
      <c r="AT109" s="274">
        <f>INDEX(LINEST(AN50:AN109,'AC2'!$F50:$J109,1,1),1,1)</f>
        <v>0.3194159113551982</v>
      </c>
      <c r="AU109" s="154"/>
      <c r="AV109" s="421">
        <v>43465</v>
      </c>
      <c r="AW109" s="154">
        <f>HLOOKUP(AW$1,'Asset Returns'!$F$1:$ZS$109,ROW(),0)</f>
        <v>4.3916199999999996E-2</v>
      </c>
      <c r="AX109" s="154">
        <f>HLOOKUP(AX$1,'Asset Returns'!$F$1:$ZS$109,ROW(),0)</f>
        <v>-7.6157299999999997E-2</v>
      </c>
      <c r="AY109" s="154">
        <f>HLOOKUP(AY$1,'Asset Returns'!$F$1:$ZS$109,ROW(),0)</f>
        <v>-6.4034359999999999E-2</v>
      </c>
      <c r="AZ109" s="154">
        <f>HLOOKUP(AZ$1,'Asset Returns'!$F$1:$ZS$109,ROW(),0)</f>
        <v>-7.6538469999999997E-2</v>
      </c>
      <c r="BA109" s="154">
        <f>HLOOKUP(BA$1,'Asset Returns'!$F$1:$ZS$109,ROW(),0)</f>
        <v>0.28984369999999998</v>
      </c>
      <c r="BB109" s="273">
        <f>IF(IF(Funds!$J$10="no",BG109,BL109)=0,NA(),IF(Funds!$J$10="no",BG109,BL109))</f>
        <v>2.9226581583566795</v>
      </c>
      <c r="BC109" s="273">
        <f>IF(IF(Funds!$J$10="no",BH109,BM109)=0,NA(),IF(Funds!$J$10="no",BH109,BM109))</f>
        <v>1.4927847158420084E-2</v>
      </c>
      <c r="BD109" s="273">
        <f>IF(IF(Funds!$J$10="no",BI109,BN109)=0,NA(),IF(Funds!$J$10="no",BI109,BN109))</f>
        <v>-0.1704803227326854</v>
      </c>
      <c r="BE109" s="273">
        <f>IF(IF(Funds!$J$10="no",BJ109,BO109)=0,NA(),IF(Funds!$J$10="no",BJ109,BO109))</f>
        <v>-6.8779588172730291E-2</v>
      </c>
      <c r="BF109" s="273">
        <f>IF(IF(Funds!$J$10="no",BK109,BP109)=0,NA(),IF(Funds!$J$10="no",BK109,BP109))</f>
        <v>-1.8395247687243172</v>
      </c>
      <c r="BG109" s="274">
        <f ca="1">Funds!$R$34</f>
        <v>2.5919346055080732</v>
      </c>
      <c r="BH109" s="274">
        <f ca="1">Funds!$R$36</f>
        <v>1.3378677483181089E-2</v>
      </c>
      <c r="BI109" s="274">
        <f ca="1">Funds!$R$38</f>
        <v>-0.15972963753204919</v>
      </c>
      <c r="BJ109" s="274">
        <f ca="1">Funds!$R$40</f>
        <v>-0.16887551350866659</v>
      </c>
      <c r="BK109" s="274">
        <f ca="1">Funds!$R$42</f>
        <v>-1.9222891726906419</v>
      </c>
      <c r="BL109" s="274">
        <f>INDEX(LINEST(AW50:AW109,'AC2'!$F50:$J109,1,1),1,1)</f>
        <v>2.9226581583566795</v>
      </c>
      <c r="BM109" s="274">
        <f>INDEX(LINEST(AX50:AX109,'AC2'!$F50:$J109,1,1),1,1)</f>
        <v>1.4927847158420084E-2</v>
      </c>
      <c r="BN109" s="274">
        <f>INDEX(LINEST(AY50:AY109,'AC2'!$F50:$J109,1,1),1,1)</f>
        <v>-0.1704803227326854</v>
      </c>
      <c r="BO109" s="274">
        <f>INDEX(LINEST(AZ50:AZ109,'AC2'!$F50:$J109,1,1),1,1)</f>
        <v>-6.8779588172730291E-2</v>
      </c>
      <c r="BP109" s="274">
        <f>INDEX(LINEST(BA50:BA109,'AC2'!$F50:$J109,1,1),1,1)</f>
        <v>-1.8395247687243172</v>
      </c>
      <c r="BR109" s="154"/>
      <c r="BT109" s="154"/>
      <c r="CG109" s="218"/>
      <c r="CN109" s="154"/>
      <c r="CP109" s="154"/>
      <c r="CR109" s="154"/>
      <c r="CT109" s="154"/>
    </row>
    <row r="110" spans="6:98">
      <c r="BB110" s="273"/>
      <c r="BC110" s="273"/>
      <c r="BD110" s="273"/>
      <c r="BE110" s="273"/>
      <c r="BF110" s="273"/>
      <c r="BG110" s="274"/>
      <c r="BH110" s="274"/>
      <c r="BI110" s="274"/>
      <c r="BJ110" s="274"/>
      <c r="BK110" s="274"/>
      <c r="BL110" s="274"/>
      <c r="BM110" s="274"/>
      <c r="BN110" s="274"/>
      <c r="BO110" s="274"/>
      <c r="BP110" s="274"/>
    </row>
  </sheetData>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E1:GE109"/>
  <sheetViews>
    <sheetView workbookViewId="0">
      <selection activeCell="CG31" sqref="CG31"/>
    </sheetView>
  </sheetViews>
  <sheetFormatPr baseColWidth="10" defaultRowHeight="15"/>
  <sheetData>
    <row r="1" spans="5:187" ht="15" customHeight="1">
      <c r="E1" s="24" t="s">
        <v>265</v>
      </c>
      <c r="F1" s="26" t="str">
        <f>'Risk Factors'!F1</f>
        <v>erM</v>
      </c>
      <c r="G1" s="26" t="str">
        <f>'Risk Factors'!G1</f>
        <v>SMB</v>
      </c>
      <c r="H1" s="26" t="str">
        <f>'Risk Factors'!H1</f>
        <v>HML</v>
      </c>
      <c r="I1" s="26" t="str">
        <f>'Risk Factors'!I1</f>
        <v>WML</v>
      </c>
      <c r="J1" s="26" t="str">
        <f>BMG!F1</f>
        <v>BMG</v>
      </c>
      <c r="K1" s="26" t="str">
        <f>'Risk Factors'!J1</f>
        <v>rf</v>
      </c>
      <c r="L1" s="24"/>
      <c r="M1" s="24" t="s">
        <v>265</v>
      </c>
      <c r="N1" s="26" t="str">
        <f>'Risk Factors'!F1</f>
        <v>erM</v>
      </c>
      <c r="O1" s="26" t="str">
        <f>'Risk Factors'!M1</f>
        <v>1-3-CB</v>
      </c>
      <c r="P1" s="26" t="str">
        <f>'Risk Factors'!N1</f>
        <v>3-5-CB</v>
      </c>
      <c r="Q1" s="26" t="str">
        <f>'Risk Factors'!O1</f>
        <v>5-7-CB</v>
      </c>
      <c r="R1" s="26" t="str">
        <f>'Risk Factors'!P1</f>
        <v>7-10-CB</v>
      </c>
      <c r="S1" s="26" t="str">
        <f>'Risk Factors'!R1</f>
        <v>1-10-HY-CB</v>
      </c>
      <c r="T1" s="26" t="str">
        <f>'Risk Factors'!S1</f>
        <v>1-10-GB</v>
      </c>
      <c r="U1" s="26" t="str">
        <f>BMG!F1</f>
        <v>BMG</v>
      </c>
      <c r="V1" s="26"/>
      <c r="W1" s="24" t="s">
        <v>265</v>
      </c>
      <c r="X1" s="26" t="str">
        <f>'Risk Factors'!F1</f>
        <v>erM</v>
      </c>
      <c r="Y1" s="26" t="str">
        <f>'Risk Factors'!G1</f>
        <v>SMB</v>
      </c>
      <c r="Z1" s="26" t="str">
        <f>'Risk Factors'!H1</f>
        <v>HML</v>
      </c>
      <c r="AA1" s="26" t="str">
        <f>'Risk Factors'!T1</f>
        <v>Term</v>
      </c>
      <c r="AB1" s="26" t="str">
        <f>'Risk Factors'!U1</f>
        <v>Def</v>
      </c>
      <c r="AC1" s="26" t="str">
        <f>BMG!F1</f>
        <v>BMG</v>
      </c>
      <c r="AD1" s="24"/>
      <c r="AE1" s="24"/>
      <c r="AF1" s="24"/>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5"/>
      <c r="EW1" s="2"/>
      <c r="EX1" s="5"/>
      <c r="EY1" s="2"/>
      <c r="EZ1" s="5"/>
      <c r="FA1" s="2"/>
      <c r="FB1" s="5"/>
      <c r="FC1" s="2"/>
      <c r="FD1" s="5"/>
      <c r="FE1" s="2"/>
      <c r="FF1" s="5"/>
      <c r="FG1" s="2"/>
      <c r="FH1" s="5"/>
      <c r="FI1" s="2"/>
      <c r="FJ1" s="5"/>
      <c r="FK1" s="2"/>
      <c r="FL1" s="5"/>
      <c r="FM1" s="2"/>
      <c r="FN1" s="5"/>
      <c r="FO1" s="2"/>
      <c r="FP1" s="5"/>
      <c r="FQ1" s="2"/>
      <c r="FR1" s="5"/>
      <c r="FS1" s="2"/>
      <c r="FT1" s="5"/>
      <c r="FU1" s="2"/>
      <c r="FV1" s="5"/>
      <c r="FW1" s="2"/>
      <c r="FX1" s="5"/>
      <c r="FY1" s="2"/>
      <c r="FZ1" s="5"/>
      <c r="GA1" s="2"/>
      <c r="GB1" s="5"/>
      <c r="GC1" s="2"/>
      <c r="GD1" s="5"/>
      <c r="GE1" s="2"/>
    </row>
    <row r="2" spans="5:187">
      <c r="E2" s="421">
        <v>40209</v>
      </c>
      <c r="F2" s="25">
        <f>'Risk Factors'!F2</f>
        <v>-3.73E-2</v>
      </c>
      <c r="G2" s="25">
        <f>'Risk Factors'!G2</f>
        <v>2.64E-2</v>
      </c>
      <c r="H2" s="25">
        <f>'Risk Factors'!H2</f>
        <v>-1E-3</v>
      </c>
      <c r="I2" s="25">
        <f>'Risk Factors'!I2</f>
        <v>-2.2499999999999999E-2</v>
      </c>
      <c r="J2" s="25">
        <f>BMG!F2</f>
        <v>-1.3868200000000001E-2</v>
      </c>
      <c r="K2" s="25">
        <f>'Risk Factors'!J2</f>
        <v>0</v>
      </c>
      <c r="L2" s="102"/>
      <c r="M2" s="421">
        <v>40209</v>
      </c>
      <c r="N2" s="25">
        <f>'Risk Factors'!F2</f>
        <v>-3.73E-2</v>
      </c>
      <c r="O2" s="25">
        <f>'Risk Factors'!M2</f>
        <v>-2.1800000000000001E-3</v>
      </c>
      <c r="P2" s="25">
        <f>'Risk Factors'!N2</f>
        <v>2.8900000000000002E-3</v>
      </c>
      <c r="Q2" s="25">
        <f>'Risk Factors'!O2</f>
        <v>9.8600000000000007E-3</v>
      </c>
      <c r="R2" s="25">
        <f>'Risk Factors'!P2</f>
        <v>1.5100000000000001E-2</v>
      </c>
      <c r="S2" s="25">
        <f>'Risk Factors'!R2</f>
        <v>1.3979999999999999E-2</v>
      </c>
      <c r="T2" s="25">
        <f>'Risk Factors'!S2</f>
        <v>2.5500000000000002E-3</v>
      </c>
      <c r="U2" s="25">
        <f>BMG!F2</f>
        <v>-1.3868200000000001E-2</v>
      </c>
      <c r="V2" s="25"/>
      <c r="W2" s="421">
        <v>40209</v>
      </c>
      <c r="X2" s="25">
        <f>'Risk Factors'!F2</f>
        <v>-3.73E-2</v>
      </c>
      <c r="Y2" s="25">
        <f>'Risk Factors'!G2</f>
        <v>2.64E-2</v>
      </c>
      <c r="Z2" s="25">
        <f>'Risk Factors'!H2</f>
        <v>-1E-3</v>
      </c>
      <c r="AA2" s="25">
        <f>'Risk Factors'!T2</f>
        <v>2.5500000000000002E-3</v>
      </c>
      <c r="AB2" s="25">
        <f>'Risk Factors'!U2</f>
        <v>1.1089999999999999E-2</v>
      </c>
      <c r="AC2" s="25">
        <f>BMG!F2</f>
        <v>-1.3868200000000001E-2</v>
      </c>
      <c r="AE2" s="6"/>
      <c r="AG2" s="6"/>
      <c r="AI2" s="6"/>
      <c r="AK2" s="6"/>
      <c r="AM2" s="6"/>
      <c r="AO2" s="6"/>
      <c r="AQ2" s="6"/>
      <c r="AS2" s="6"/>
      <c r="AU2" s="6"/>
      <c r="AW2" s="6"/>
      <c r="AY2" s="6"/>
      <c r="BA2" s="6"/>
      <c r="BC2" s="6"/>
      <c r="BE2" s="6"/>
      <c r="BG2" s="6"/>
      <c r="BI2" s="6"/>
      <c r="BK2" s="6"/>
      <c r="BM2" s="6"/>
      <c r="BO2" s="6"/>
      <c r="BQ2" s="6"/>
      <c r="BS2" s="6"/>
      <c r="BU2" s="6"/>
      <c r="BW2" s="6"/>
      <c r="BY2" s="6"/>
      <c r="CA2" s="6"/>
      <c r="CC2" s="6"/>
      <c r="CE2" s="6"/>
      <c r="CG2" s="6"/>
      <c r="CI2" s="6"/>
      <c r="CK2" s="6"/>
      <c r="CM2" s="6"/>
      <c r="CO2" s="6"/>
      <c r="CQ2" s="6"/>
      <c r="CS2" s="6"/>
      <c r="CU2" s="6"/>
      <c r="CW2" s="6"/>
      <c r="CY2" s="6"/>
      <c r="DA2" s="6"/>
      <c r="DC2" s="6"/>
      <c r="DE2" s="6"/>
      <c r="DG2" s="6"/>
      <c r="DI2" s="6"/>
      <c r="DK2" s="6"/>
      <c r="DM2" s="6"/>
      <c r="DO2" s="6"/>
      <c r="DQ2" s="6"/>
      <c r="DS2" s="6"/>
      <c r="DU2" s="6"/>
      <c r="DW2" s="6"/>
      <c r="DY2" s="6"/>
      <c r="EA2" s="6"/>
      <c r="EC2" s="6"/>
      <c r="EE2" s="6"/>
      <c r="EG2" s="6"/>
      <c r="EI2" s="6"/>
      <c r="EK2" s="6"/>
      <c r="EM2" s="6"/>
      <c r="EO2" s="6"/>
      <c r="EQ2" s="6"/>
      <c r="ES2" s="6"/>
      <c r="EU2" s="6"/>
      <c r="EW2" s="6"/>
      <c r="EY2" s="6"/>
      <c r="FA2" s="6"/>
      <c r="FC2" s="6"/>
      <c r="FE2" s="6"/>
      <c r="FG2" s="6"/>
      <c r="FI2" s="6"/>
      <c r="FK2" s="6"/>
      <c r="FM2" s="6"/>
      <c r="FO2" s="6"/>
      <c r="FQ2" s="6"/>
      <c r="FS2" s="6"/>
      <c r="FU2" s="6"/>
      <c r="FW2" s="6"/>
      <c r="FY2" s="6"/>
      <c r="GA2" s="6"/>
      <c r="GC2" s="6"/>
      <c r="GE2" s="6"/>
    </row>
    <row r="3" spans="5:187">
      <c r="E3" s="421">
        <v>40237</v>
      </c>
      <c r="F3" s="25">
        <f>'Risk Factors'!F3</f>
        <v>1.2999999999999999E-2</v>
      </c>
      <c r="G3" s="25">
        <f>'Risk Factors'!G3</f>
        <v>-2.0000000000000001E-4</v>
      </c>
      <c r="H3" s="25">
        <f>'Risk Factors'!H3</f>
        <v>1.4E-3</v>
      </c>
      <c r="I3" s="25">
        <f>'Risk Factors'!I3</f>
        <v>1.5100000000000001E-2</v>
      </c>
      <c r="J3" s="25">
        <f>BMG!F3</f>
        <v>1.1553300000000001E-2</v>
      </c>
      <c r="K3" s="25">
        <f>'Risk Factors'!J3</f>
        <v>0</v>
      </c>
      <c r="L3" s="102"/>
      <c r="M3" s="421">
        <v>40237</v>
      </c>
      <c r="N3" s="25">
        <f>'Risk Factors'!F3</f>
        <v>1.2999999999999999E-2</v>
      </c>
      <c r="O3" s="25">
        <f>'Risk Factors'!M3</f>
        <v>-2.9099999999999998E-3</v>
      </c>
      <c r="P3" s="25">
        <f>'Risk Factors'!N3</f>
        <v>-1.9300000000000001E-3</v>
      </c>
      <c r="Q3" s="25">
        <f>'Risk Factors'!O3</f>
        <v>-4.3800000000000002E-3</v>
      </c>
      <c r="R3" s="25">
        <f>'Risk Factors'!P3</f>
        <v>-2.9399999999999999E-3</v>
      </c>
      <c r="S3" s="25">
        <f>'Risk Factors'!R3</f>
        <v>-2.4499999999999999E-3</v>
      </c>
      <c r="T3" s="25">
        <f>'Risk Factors'!S3</f>
        <v>3.9899999999999996E-3</v>
      </c>
      <c r="U3" s="25">
        <f>BMG!F3</f>
        <v>1.1553300000000001E-2</v>
      </c>
      <c r="V3" s="25"/>
      <c r="W3" s="421">
        <v>40237</v>
      </c>
      <c r="X3" s="25">
        <f>'Risk Factors'!F3</f>
        <v>1.2999999999999999E-2</v>
      </c>
      <c r="Y3" s="25">
        <f>'Risk Factors'!G3</f>
        <v>-2.0000000000000001E-4</v>
      </c>
      <c r="Z3" s="25">
        <f>'Risk Factors'!H3</f>
        <v>1.4E-3</v>
      </c>
      <c r="AA3" s="25">
        <f>'Risk Factors'!T3</f>
        <v>3.9899999999999996E-3</v>
      </c>
      <c r="AB3" s="25">
        <f>'Risk Factors'!U3</f>
        <v>-5.1999999999999985E-4</v>
      </c>
      <c r="AC3" s="25">
        <f>BMG!F3</f>
        <v>1.1553300000000001E-2</v>
      </c>
      <c r="AE3" s="6"/>
      <c r="AG3" s="6"/>
      <c r="AI3" s="6"/>
      <c r="AK3" s="6"/>
      <c r="AM3" s="6"/>
      <c r="AO3" s="6"/>
      <c r="AQ3" s="6"/>
      <c r="AS3" s="6"/>
      <c r="AU3" s="6"/>
      <c r="AW3" s="6"/>
      <c r="AY3" s="6"/>
      <c r="BA3" s="6"/>
      <c r="BC3" s="6"/>
      <c r="BE3" s="6"/>
      <c r="BG3" s="6"/>
      <c r="BI3" s="6"/>
      <c r="BK3" s="6"/>
      <c r="BM3" s="6"/>
      <c r="BO3" s="6"/>
      <c r="BQ3" s="6"/>
      <c r="BS3" s="6"/>
      <c r="BU3" s="6"/>
      <c r="BW3" s="6"/>
      <c r="BY3" s="6"/>
      <c r="CA3" s="6"/>
      <c r="CC3" s="6"/>
      <c r="CE3" s="6"/>
      <c r="CG3" s="6"/>
      <c r="CI3" s="6"/>
      <c r="CK3" s="6"/>
      <c r="CM3" s="6"/>
      <c r="CO3" s="6"/>
      <c r="CQ3" s="6"/>
      <c r="CS3" s="6"/>
      <c r="CU3" s="6"/>
      <c r="CW3" s="6"/>
      <c r="CY3" s="6"/>
      <c r="DA3" s="6"/>
      <c r="DC3" s="6"/>
      <c r="DE3" s="6"/>
      <c r="DG3" s="6"/>
      <c r="DI3" s="6"/>
      <c r="DK3" s="6"/>
      <c r="DM3" s="6"/>
      <c r="DO3" s="6"/>
      <c r="DQ3" s="6"/>
      <c r="DS3" s="6"/>
      <c r="DU3" s="6"/>
      <c r="DW3" s="6"/>
      <c r="DY3" s="6"/>
      <c r="EA3" s="6"/>
      <c r="EC3" s="6"/>
      <c r="EE3" s="6"/>
      <c r="EG3" s="6"/>
      <c r="EI3" s="6"/>
      <c r="EK3" s="6"/>
      <c r="EM3" s="6"/>
      <c r="EO3" s="6"/>
      <c r="EQ3" s="6"/>
      <c r="ES3" s="6"/>
      <c r="EU3" s="6"/>
      <c r="EW3" s="6"/>
      <c r="EY3" s="6"/>
      <c r="FA3" s="6"/>
      <c r="FC3" s="6"/>
      <c r="FE3" s="6"/>
      <c r="FG3" s="6"/>
      <c r="FI3" s="6"/>
      <c r="FK3" s="6"/>
      <c r="FM3" s="6"/>
      <c r="FO3" s="6"/>
      <c r="FQ3" s="6"/>
      <c r="FS3" s="6"/>
      <c r="FU3" s="6"/>
      <c r="FW3" s="6"/>
      <c r="FY3" s="6"/>
      <c r="GA3" s="6"/>
      <c r="GC3" s="6"/>
      <c r="GE3" s="6"/>
    </row>
    <row r="4" spans="5:187">
      <c r="E4" s="421">
        <v>40268</v>
      </c>
      <c r="F4" s="25">
        <f>'Risk Factors'!F4</f>
        <v>6.2700000000000006E-2</v>
      </c>
      <c r="G4" s="25">
        <f>'Risk Factors'!G4</f>
        <v>-1.8E-3</v>
      </c>
      <c r="H4" s="25">
        <f>'Risk Factors'!H4</f>
        <v>0.03</v>
      </c>
      <c r="I4" s="25">
        <f>'Risk Factors'!I4</f>
        <v>4.2200000000000001E-2</v>
      </c>
      <c r="J4" s="25">
        <f>BMG!F4</f>
        <v>8.2559999999999995E-3</v>
      </c>
      <c r="K4" s="25">
        <f>'Risk Factors'!J4</f>
        <v>1E-4</v>
      </c>
      <c r="L4" s="102"/>
      <c r="M4" s="421">
        <v>40268</v>
      </c>
      <c r="N4" s="25">
        <f>'Risk Factors'!F4</f>
        <v>6.2700000000000006E-2</v>
      </c>
      <c r="O4" s="25">
        <f>'Risk Factors'!M4</f>
        <v>-2.8600000000000001E-3</v>
      </c>
      <c r="P4" s="25">
        <f>'Risk Factors'!N4</f>
        <v>-1.5E-3</v>
      </c>
      <c r="Q4" s="25">
        <f>'Risk Factors'!O4</f>
        <v>4.5900000000000003E-3</v>
      </c>
      <c r="R4" s="25">
        <f>'Risk Factors'!P4</f>
        <v>5.13E-3</v>
      </c>
      <c r="S4" s="25">
        <f>'Risk Factors'!R4</f>
        <v>3.3610000000000001E-2</v>
      </c>
      <c r="T4" s="25">
        <f>'Risk Factors'!S4</f>
        <v>-1.668E-2</v>
      </c>
      <c r="U4" s="25">
        <f>BMG!F4</f>
        <v>8.2559999999999995E-3</v>
      </c>
      <c r="V4" s="25"/>
      <c r="W4" s="421">
        <v>40268</v>
      </c>
      <c r="X4" s="25">
        <f>'Risk Factors'!F4</f>
        <v>6.2700000000000006E-2</v>
      </c>
      <c r="Y4" s="25">
        <f>'Risk Factors'!G4</f>
        <v>-1.8E-3</v>
      </c>
      <c r="Z4" s="25">
        <f>'Risk Factors'!H4</f>
        <v>0.03</v>
      </c>
      <c r="AA4" s="25">
        <f>'Risk Factors'!T4</f>
        <v>-1.678E-2</v>
      </c>
      <c r="AB4" s="25">
        <f>'Risk Factors'!U4</f>
        <v>3.5110000000000002E-2</v>
      </c>
      <c r="AC4" s="25">
        <f>BMG!F4</f>
        <v>8.2559999999999995E-3</v>
      </c>
      <c r="AE4" s="6"/>
      <c r="AG4" s="6"/>
      <c r="AI4" s="6"/>
      <c r="AK4" s="6"/>
      <c r="AM4" s="6"/>
      <c r="AO4" s="6"/>
      <c r="AQ4" s="6"/>
      <c r="AS4" s="6"/>
      <c r="AU4" s="6"/>
      <c r="AW4" s="6"/>
      <c r="AY4" s="6"/>
      <c r="BA4" s="6"/>
      <c r="BC4" s="6"/>
      <c r="BE4" s="6"/>
      <c r="BG4" s="6"/>
      <c r="BI4" s="6"/>
      <c r="BK4" s="6"/>
      <c r="BM4" s="6"/>
      <c r="BO4" s="6"/>
      <c r="BQ4" s="6"/>
      <c r="BS4" s="6"/>
      <c r="BU4" s="6"/>
      <c r="BW4" s="6"/>
      <c r="BY4" s="6"/>
      <c r="CA4" s="6"/>
      <c r="CC4" s="6"/>
      <c r="CE4" s="6"/>
      <c r="CG4" s="6"/>
      <c r="CI4" s="6"/>
      <c r="CK4" s="6"/>
      <c r="CM4" s="6"/>
      <c r="CO4" s="6"/>
      <c r="CQ4" s="6"/>
      <c r="CS4" s="6"/>
      <c r="CU4" s="6"/>
      <c r="CW4" s="6"/>
      <c r="CY4" s="6"/>
      <c r="DA4" s="6"/>
      <c r="DC4" s="6"/>
      <c r="DE4" s="6"/>
      <c r="DG4" s="6"/>
      <c r="DI4" s="6"/>
      <c r="DK4" s="6"/>
      <c r="DM4" s="6"/>
      <c r="DO4" s="6"/>
      <c r="DQ4" s="6"/>
      <c r="DS4" s="6"/>
      <c r="DU4" s="6"/>
      <c r="DW4" s="6"/>
      <c r="DY4" s="6"/>
      <c r="EA4" s="6"/>
      <c r="EC4" s="6"/>
      <c r="EE4" s="6"/>
      <c r="EG4" s="6"/>
      <c r="EI4" s="6"/>
      <c r="EK4" s="6"/>
      <c r="EM4" s="6"/>
      <c r="EO4" s="6"/>
      <c r="EQ4" s="6"/>
      <c r="ES4" s="6"/>
      <c r="EU4" s="6"/>
      <c r="EW4" s="6"/>
      <c r="EY4" s="6"/>
      <c r="FA4" s="6"/>
      <c r="FC4" s="6"/>
      <c r="FE4" s="6"/>
      <c r="FG4" s="6"/>
      <c r="FI4" s="6"/>
      <c r="FK4" s="6"/>
      <c r="FM4" s="6"/>
      <c r="FO4" s="6"/>
      <c r="FQ4" s="6"/>
      <c r="FS4" s="6"/>
      <c r="FU4" s="6"/>
      <c r="FW4" s="6"/>
      <c r="FY4" s="6"/>
      <c r="GA4" s="6"/>
      <c r="GC4" s="6"/>
      <c r="GE4" s="6"/>
    </row>
    <row r="5" spans="5:187">
      <c r="E5" s="421">
        <v>40298</v>
      </c>
      <c r="F5" s="25">
        <f>'Risk Factors'!F5</f>
        <v>4.1000000000000003E-3</v>
      </c>
      <c r="G5" s="25">
        <f>'Risk Factors'!G5</f>
        <v>3.9E-2</v>
      </c>
      <c r="H5" s="25">
        <f>'Risk Factors'!H5</f>
        <v>7.7000000000000002E-3</v>
      </c>
      <c r="I5" s="25">
        <f>'Risk Factors'!I5</f>
        <v>1.7899999999999999E-2</v>
      </c>
      <c r="J5" s="25">
        <f>BMG!F5</f>
        <v>5.1735000000000001E-3</v>
      </c>
      <c r="K5" s="25">
        <f>'Risk Factors'!J5</f>
        <v>1E-4</v>
      </c>
      <c r="L5" s="102"/>
      <c r="M5" s="421">
        <v>40298</v>
      </c>
      <c r="N5" s="25">
        <f>'Risk Factors'!F5</f>
        <v>4.1000000000000003E-3</v>
      </c>
      <c r="O5" s="25">
        <f>'Risk Factors'!M5</f>
        <v>-4.0499999999999998E-3</v>
      </c>
      <c r="P5" s="25">
        <f>'Risk Factors'!N5</f>
        <v>3.6000000000000002E-4</v>
      </c>
      <c r="Q5" s="25">
        <f>'Risk Factors'!O5</f>
        <v>4.1000000000000003E-3</v>
      </c>
      <c r="R5" s="25">
        <f>'Risk Factors'!P5</f>
        <v>1.107E-2</v>
      </c>
      <c r="S5" s="25">
        <f>'Risk Factors'!R5</f>
        <v>1.8769999999999998E-2</v>
      </c>
      <c r="T5" s="25">
        <f>'Risk Factors'!S5</f>
        <v>-4.6899999999999997E-3</v>
      </c>
      <c r="U5" s="25">
        <f>BMG!F5</f>
        <v>5.1735000000000001E-3</v>
      </c>
      <c r="V5" s="25"/>
      <c r="W5" s="421">
        <v>40298</v>
      </c>
      <c r="X5" s="25">
        <f>'Risk Factors'!F5</f>
        <v>4.1000000000000003E-3</v>
      </c>
      <c r="Y5" s="25">
        <f>'Risk Factors'!G5</f>
        <v>3.9E-2</v>
      </c>
      <c r="Z5" s="25">
        <f>'Risk Factors'!H5</f>
        <v>7.7000000000000002E-3</v>
      </c>
      <c r="AA5" s="25">
        <f>'Risk Factors'!T5</f>
        <v>-4.79E-3</v>
      </c>
      <c r="AB5" s="25">
        <f>'Risk Factors'!U5</f>
        <v>1.8409999999999999E-2</v>
      </c>
      <c r="AC5" s="25">
        <f>BMG!F5</f>
        <v>5.1735000000000001E-3</v>
      </c>
      <c r="AE5" s="6"/>
      <c r="AG5" s="6"/>
      <c r="AI5" s="6"/>
      <c r="AK5" s="6"/>
      <c r="AM5" s="6"/>
      <c r="AO5" s="6"/>
      <c r="AQ5" s="6"/>
      <c r="AS5" s="6"/>
      <c r="AU5" s="6"/>
      <c r="AW5" s="6"/>
      <c r="AY5" s="6"/>
      <c r="BA5" s="6"/>
      <c r="BC5" s="6"/>
      <c r="BE5" s="6"/>
      <c r="BG5" s="6"/>
      <c r="BI5" s="6"/>
      <c r="BK5" s="6"/>
      <c r="BM5" s="6"/>
      <c r="BO5" s="6"/>
      <c r="BQ5" s="6"/>
      <c r="BS5" s="6"/>
      <c r="BU5" s="6"/>
      <c r="BW5" s="6"/>
      <c r="BY5" s="6"/>
      <c r="CA5" s="6"/>
      <c r="CC5" s="6"/>
      <c r="CE5" s="6"/>
      <c r="CG5" s="6"/>
      <c r="CI5" s="6"/>
      <c r="CK5" s="6"/>
      <c r="CM5" s="6"/>
      <c r="CO5" s="6"/>
      <c r="CQ5" s="6"/>
      <c r="CS5" s="6"/>
      <c r="CU5" s="6"/>
      <c r="CW5" s="6"/>
      <c r="CY5" s="6"/>
      <c r="DA5" s="6"/>
      <c r="DC5" s="6"/>
      <c r="DE5" s="6"/>
      <c r="DG5" s="6"/>
      <c r="DI5" s="6"/>
      <c r="DK5" s="6"/>
      <c r="DM5" s="6"/>
      <c r="DO5" s="6"/>
      <c r="DQ5" s="6"/>
      <c r="DS5" s="6"/>
      <c r="DU5" s="6"/>
      <c r="DW5" s="6"/>
      <c r="DY5" s="6"/>
      <c r="EA5" s="6"/>
      <c r="EC5" s="6"/>
      <c r="EE5" s="6"/>
      <c r="EG5" s="6"/>
      <c r="EI5" s="6"/>
      <c r="EK5" s="6"/>
      <c r="EM5" s="6"/>
      <c r="EO5" s="6"/>
      <c r="EQ5" s="6"/>
      <c r="ES5" s="6"/>
      <c r="EU5" s="6"/>
      <c r="EW5" s="6"/>
      <c r="EY5" s="6"/>
      <c r="FA5" s="6"/>
      <c r="FC5" s="6"/>
      <c r="FE5" s="6"/>
      <c r="FG5" s="6"/>
      <c r="FI5" s="6"/>
      <c r="FK5" s="6"/>
      <c r="FM5" s="6"/>
      <c r="FO5" s="6"/>
      <c r="FQ5" s="6"/>
      <c r="FS5" s="6"/>
      <c r="FU5" s="6"/>
      <c r="FW5" s="6"/>
      <c r="FY5" s="6"/>
      <c r="GA5" s="6"/>
      <c r="GC5" s="6"/>
      <c r="GE5" s="6"/>
    </row>
    <row r="6" spans="5:187">
      <c r="E6" s="421">
        <v>40329</v>
      </c>
      <c r="F6" s="25">
        <f>'Risk Factors'!F6</f>
        <v>-9.5299999999999996E-2</v>
      </c>
      <c r="G6" s="25">
        <f>'Risk Factors'!G6</f>
        <v>6.9999999999999999E-4</v>
      </c>
      <c r="H6" s="25">
        <f>'Risk Factors'!H6</f>
        <v>-2.4500000000000001E-2</v>
      </c>
      <c r="I6" s="25">
        <f>'Risk Factors'!I6</f>
        <v>-7.4999999999999997E-3</v>
      </c>
      <c r="J6" s="25">
        <f>BMG!F6</f>
        <v>3.0423999999999998E-3</v>
      </c>
      <c r="K6" s="25">
        <f>'Risk Factors'!J6</f>
        <v>1E-4</v>
      </c>
      <c r="L6" s="102"/>
      <c r="M6" s="421">
        <v>40329</v>
      </c>
      <c r="N6" s="25">
        <f>'Risk Factors'!F6</f>
        <v>-9.5299999999999996E-2</v>
      </c>
      <c r="O6" s="25">
        <f>'Risk Factors'!M6</f>
        <v>-3.5700000000000003E-2</v>
      </c>
      <c r="P6" s="25">
        <f>'Risk Factors'!N6</f>
        <v>-3.644E-2</v>
      </c>
      <c r="Q6" s="25">
        <f>'Risk Factors'!O6</f>
        <v>-4.2999999999999997E-2</v>
      </c>
      <c r="R6" s="25">
        <f>'Risk Factors'!P6</f>
        <v>-2.5559999999999999E-2</v>
      </c>
      <c r="S6" s="25">
        <f>'Risk Factors'!R6</f>
        <v>-4.9529999999999998E-2</v>
      </c>
      <c r="T6" s="25">
        <f>'Risk Factors'!S6</f>
        <v>-1.0240000000000001E-2</v>
      </c>
      <c r="U6" s="25">
        <f>BMG!F6</f>
        <v>3.0423999999999998E-3</v>
      </c>
      <c r="V6" s="25"/>
      <c r="W6" s="421">
        <v>40329</v>
      </c>
      <c r="X6" s="25">
        <f>'Risk Factors'!F6</f>
        <v>-9.5299999999999996E-2</v>
      </c>
      <c r="Y6" s="25">
        <f>'Risk Factors'!G6</f>
        <v>6.9999999999999999E-4</v>
      </c>
      <c r="Z6" s="25">
        <f>'Risk Factors'!H6</f>
        <v>-2.4500000000000001E-2</v>
      </c>
      <c r="AA6" s="25">
        <f>'Risk Factors'!T6</f>
        <v>-1.034E-2</v>
      </c>
      <c r="AB6" s="25">
        <f>'Risk Factors'!U6</f>
        <v>-1.3089999999999997E-2</v>
      </c>
      <c r="AC6" s="25">
        <f>BMG!F6</f>
        <v>3.0423999999999998E-3</v>
      </c>
      <c r="AE6" s="6"/>
      <c r="AG6" s="6"/>
      <c r="AI6" s="6"/>
      <c r="AK6" s="6"/>
      <c r="AM6" s="6"/>
      <c r="AO6" s="6"/>
      <c r="AQ6" s="6"/>
      <c r="AS6" s="6"/>
      <c r="AU6" s="6"/>
      <c r="AW6" s="6"/>
      <c r="AY6" s="6"/>
      <c r="BA6" s="6"/>
      <c r="BC6" s="6"/>
      <c r="BE6" s="6"/>
      <c r="BG6" s="6"/>
      <c r="BI6" s="6"/>
      <c r="BK6" s="6"/>
      <c r="BM6" s="6"/>
      <c r="BO6" s="6"/>
      <c r="BQ6" s="6"/>
      <c r="BS6" s="6"/>
      <c r="BU6" s="6"/>
      <c r="BW6" s="6"/>
      <c r="BY6" s="6"/>
      <c r="CA6" s="6"/>
      <c r="CC6" s="6"/>
      <c r="CE6" s="6"/>
      <c r="CG6" s="6"/>
      <c r="CI6" s="6"/>
      <c r="CK6" s="6"/>
      <c r="CM6" s="6"/>
      <c r="CO6" s="6"/>
      <c r="CQ6" s="6"/>
      <c r="CS6" s="6"/>
      <c r="CU6" s="6"/>
      <c r="CW6" s="6"/>
      <c r="CY6" s="6"/>
      <c r="DA6" s="6"/>
      <c r="DC6" s="6"/>
      <c r="DE6" s="6"/>
      <c r="DG6" s="6"/>
      <c r="DI6" s="6"/>
      <c r="DK6" s="6"/>
      <c r="DM6" s="6"/>
      <c r="DO6" s="6"/>
      <c r="DQ6" s="6"/>
      <c r="DS6" s="6"/>
      <c r="DU6" s="6"/>
      <c r="DW6" s="6"/>
      <c r="DY6" s="6"/>
      <c r="EA6" s="6"/>
      <c r="EC6" s="6"/>
      <c r="EE6" s="6"/>
      <c r="EG6" s="6"/>
      <c r="EI6" s="6"/>
      <c r="EK6" s="6"/>
      <c r="EM6" s="6"/>
      <c r="EO6" s="6"/>
      <c r="EQ6" s="6"/>
      <c r="ES6" s="6"/>
      <c r="EU6" s="6"/>
      <c r="EW6" s="6"/>
      <c r="EY6" s="6"/>
      <c r="FA6" s="6"/>
      <c r="FC6" s="6"/>
      <c r="FE6" s="6"/>
      <c r="FG6" s="6"/>
      <c r="FI6" s="6"/>
      <c r="FK6" s="6"/>
      <c r="FM6" s="6"/>
      <c r="FO6" s="6"/>
      <c r="FQ6" s="6"/>
      <c r="FS6" s="6"/>
      <c r="FU6" s="6"/>
      <c r="FW6" s="6"/>
      <c r="FY6" s="6"/>
      <c r="GA6" s="6"/>
      <c r="GC6" s="6"/>
      <c r="GE6" s="6"/>
    </row>
    <row r="7" spans="5:187">
      <c r="E7" s="421">
        <v>40359</v>
      </c>
      <c r="F7" s="25">
        <f>'Risk Factors'!F7</f>
        <v>-3.15E-2</v>
      </c>
      <c r="G7" s="25">
        <f>'Risk Factors'!G7</f>
        <v>3.0000000000000001E-3</v>
      </c>
      <c r="H7" s="25">
        <f>'Risk Factors'!H7</f>
        <v>-2.76E-2</v>
      </c>
      <c r="I7" s="25">
        <f>'Risk Factors'!I7</f>
        <v>-9.2999999999999992E-3</v>
      </c>
      <c r="J7" s="25">
        <f>BMG!F7</f>
        <v>-1.8381499999999999E-2</v>
      </c>
      <c r="K7" s="25">
        <f>'Risk Factors'!J7</f>
        <v>1E-4</v>
      </c>
      <c r="L7" s="102"/>
      <c r="M7" s="421">
        <v>40359</v>
      </c>
      <c r="N7" s="25">
        <f>'Risk Factors'!F7</f>
        <v>-3.15E-2</v>
      </c>
      <c r="O7" s="25">
        <f>'Risk Factors'!M7</f>
        <v>5.8599999999999998E-3</v>
      </c>
      <c r="P7" s="25">
        <f>'Risk Factors'!N7</f>
        <v>9.7900000000000001E-3</v>
      </c>
      <c r="Q7" s="25">
        <f>'Risk Factors'!O7</f>
        <v>1.259E-2</v>
      </c>
      <c r="R7" s="25">
        <f>'Risk Factors'!P7</f>
        <v>2.1260000000000001E-2</v>
      </c>
      <c r="S7" s="25">
        <f>'Risk Factors'!R7</f>
        <v>1.1440000000000001E-2</v>
      </c>
      <c r="T7" s="25">
        <f>'Risk Factors'!S7</f>
        <v>1.472E-2</v>
      </c>
      <c r="U7" s="25">
        <f>BMG!F7</f>
        <v>-1.8381499999999999E-2</v>
      </c>
      <c r="V7" s="25"/>
      <c r="W7" s="421">
        <v>40359</v>
      </c>
      <c r="X7" s="25">
        <f>'Risk Factors'!F7</f>
        <v>-3.15E-2</v>
      </c>
      <c r="Y7" s="25">
        <f>'Risk Factors'!G7</f>
        <v>3.0000000000000001E-3</v>
      </c>
      <c r="Z7" s="25">
        <f>'Risk Factors'!H7</f>
        <v>-2.76E-2</v>
      </c>
      <c r="AA7" s="25">
        <f>'Risk Factors'!T7</f>
        <v>1.4620000000000001E-2</v>
      </c>
      <c r="AB7" s="25">
        <f>'Risk Factors'!U7</f>
        <v>1.6500000000000004E-3</v>
      </c>
      <c r="AC7" s="25">
        <f>BMG!F7</f>
        <v>-1.8381499999999999E-2</v>
      </c>
      <c r="AE7" s="6"/>
      <c r="AG7" s="6"/>
      <c r="AI7" s="6"/>
      <c r="AK7" s="6"/>
      <c r="AM7" s="6"/>
      <c r="AO7" s="6"/>
      <c r="AQ7" s="6"/>
      <c r="AS7" s="6"/>
      <c r="AU7" s="6"/>
      <c r="AW7" s="6"/>
      <c r="AY7" s="6"/>
      <c r="BA7" s="6"/>
      <c r="BC7" s="6"/>
      <c r="BE7" s="6"/>
      <c r="BG7" s="6"/>
      <c r="BI7" s="6"/>
      <c r="BK7" s="6"/>
      <c r="BM7" s="6"/>
      <c r="BO7" s="6"/>
      <c r="BQ7" s="6"/>
      <c r="BS7" s="6"/>
      <c r="BU7" s="6"/>
      <c r="BW7" s="6"/>
      <c r="BY7" s="6"/>
      <c r="CA7" s="6"/>
      <c r="CC7" s="6"/>
      <c r="CE7" s="6"/>
      <c r="CG7" s="6"/>
      <c r="CI7" s="6"/>
      <c r="CK7" s="6"/>
      <c r="CM7" s="6"/>
      <c r="CO7" s="6"/>
      <c r="CQ7" s="6"/>
      <c r="CS7" s="6"/>
      <c r="CU7" s="6"/>
      <c r="CW7" s="6"/>
      <c r="CY7" s="6"/>
      <c r="DA7" s="6"/>
      <c r="DC7" s="6"/>
      <c r="DE7" s="6"/>
      <c r="DG7" s="6"/>
      <c r="DI7" s="6"/>
      <c r="DK7" s="6"/>
      <c r="DM7" s="6"/>
      <c r="DO7" s="6"/>
      <c r="DQ7" s="6"/>
      <c r="DS7" s="6"/>
      <c r="DU7" s="6"/>
      <c r="DW7" s="6"/>
      <c r="DY7" s="6"/>
      <c r="EA7" s="6"/>
      <c r="EC7" s="6"/>
      <c r="EE7" s="6"/>
      <c r="EG7" s="6"/>
      <c r="EI7" s="6"/>
      <c r="EK7" s="6"/>
      <c r="EM7" s="6"/>
      <c r="EO7" s="6"/>
      <c r="EQ7" s="6"/>
      <c r="ES7" s="6"/>
      <c r="EU7" s="6"/>
      <c r="EW7" s="6"/>
      <c r="EY7" s="6"/>
      <c r="FA7" s="6"/>
      <c r="FC7" s="6"/>
      <c r="FE7" s="6"/>
      <c r="FG7" s="6"/>
      <c r="FI7" s="6"/>
      <c r="FK7" s="6"/>
      <c r="FM7" s="6"/>
      <c r="FO7" s="6"/>
      <c r="FQ7" s="6"/>
      <c r="FS7" s="6"/>
      <c r="FU7" s="6"/>
      <c r="FW7" s="6"/>
      <c r="FY7" s="6"/>
      <c r="GA7" s="6"/>
      <c r="GC7" s="6"/>
      <c r="GE7" s="6"/>
    </row>
    <row r="8" spans="5:187">
      <c r="E8" s="421">
        <v>40390</v>
      </c>
      <c r="F8" s="25">
        <f>'Risk Factors'!F8</f>
        <v>8.2100000000000006E-2</v>
      </c>
      <c r="G8" s="25">
        <f>'Risk Factors'!G8</f>
        <v>-1.5100000000000001E-2</v>
      </c>
      <c r="H8" s="25">
        <f>'Risk Factors'!H8</f>
        <v>1.4E-2</v>
      </c>
      <c r="I8" s="25">
        <f>'Risk Factors'!I8</f>
        <v>3.0000000000000001E-3</v>
      </c>
      <c r="J8" s="25">
        <f>BMG!F8</f>
        <v>1.3803899999999999E-2</v>
      </c>
      <c r="K8" s="25">
        <f>'Risk Factors'!J8</f>
        <v>1E-4</v>
      </c>
      <c r="L8" s="102"/>
      <c r="M8" s="421">
        <v>40390</v>
      </c>
      <c r="N8" s="25">
        <f>'Risk Factors'!F8</f>
        <v>8.2100000000000006E-2</v>
      </c>
      <c r="O8" s="25">
        <f>'Risk Factors'!M8</f>
        <v>3.771E-2</v>
      </c>
      <c r="P8" s="25">
        <f>'Risk Factors'!N8</f>
        <v>4.2630000000000001E-2</v>
      </c>
      <c r="Q8" s="25">
        <f>'Risk Factors'!O8</f>
        <v>4.9570000000000003E-2</v>
      </c>
      <c r="R8" s="25">
        <f>'Risk Factors'!P8</f>
        <v>4.0509999999999997E-2</v>
      </c>
      <c r="S8" s="25">
        <f>'Risk Factors'!R8</f>
        <v>4.6379999999999998E-2</v>
      </c>
      <c r="T8" s="25">
        <f>'Risk Factors'!S8</f>
        <v>3.3099999999999997E-2</v>
      </c>
      <c r="U8" s="25">
        <f>BMG!F8</f>
        <v>1.3803899999999999E-2</v>
      </c>
      <c r="V8" s="25"/>
      <c r="W8" s="421">
        <v>40390</v>
      </c>
      <c r="X8" s="25">
        <f>'Risk Factors'!F8</f>
        <v>8.2100000000000006E-2</v>
      </c>
      <c r="Y8" s="25">
        <f>'Risk Factors'!G8</f>
        <v>-1.5100000000000001E-2</v>
      </c>
      <c r="Z8" s="25">
        <f>'Risk Factors'!H8</f>
        <v>1.4E-2</v>
      </c>
      <c r="AA8" s="25">
        <f>'Risk Factors'!T8</f>
        <v>3.2999999999999995E-2</v>
      </c>
      <c r="AB8" s="25">
        <f>'Risk Factors'!U8</f>
        <v>3.7499999999999964E-3</v>
      </c>
      <c r="AC8" s="25">
        <f>BMG!F8</f>
        <v>1.3803899999999999E-2</v>
      </c>
      <c r="AE8" s="6"/>
      <c r="AG8" s="6"/>
      <c r="AI8" s="6"/>
      <c r="AK8" s="6"/>
      <c r="AM8" s="6"/>
      <c r="AO8" s="6"/>
      <c r="AQ8" s="6"/>
      <c r="AS8" s="6"/>
      <c r="AU8" s="6"/>
      <c r="AW8" s="6"/>
      <c r="AY8" s="6"/>
      <c r="BA8" s="6"/>
      <c r="BC8" s="6"/>
      <c r="BE8" s="6"/>
      <c r="BG8" s="6"/>
      <c r="BI8" s="6"/>
      <c r="BK8" s="6"/>
      <c r="BM8" s="6"/>
      <c r="BO8" s="6"/>
      <c r="BQ8" s="6"/>
      <c r="BS8" s="6"/>
      <c r="BU8" s="6"/>
      <c r="BW8" s="6"/>
      <c r="BY8" s="6"/>
      <c r="CA8" s="6"/>
      <c r="CC8" s="6"/>
      <c r="CE8" s="6"/>
      <c r="CG8" s="6"/>
      <c r="CI8" s="6"/>
      <c r="CK8" s="6"/>
      <c r="CM8" s="6"/>
      <c r="CO8" s="6"/>
      <c r="CQ8" s="6"/>
      <c r="CS8" s="6"/>
      <c r="CU8" s="6"/>
      <c r="CW8" s="6"/>
      <c r="CY8" s="6"/>
      <c r="DA8" s="6"/>
      <c r="DC8" s="6"/>
      <c r="DE8" s="6"/>
      <c r="DG8" s="6"/>
      <c r="DI8" s="6"/>
      <c r="DK8" s="6"/>
      <c r="DM8" s="6"/>
      <c r="DO8" s="6"/>
      <c r="DQ8" s="6"/>
      <c r="DS8" s="6"/>
      <c r="DU8" s="6"/>
      <c r="DW8" s="6"/>
      <c r="DY8" s="6"/>
      <c r="EA8" s="6"/>
      <c r="EC8" s="6"/>
      <c r="EE8" s="6"/>
      <c r="EG8" s="6"/>
      <c r="EI8" s="6"/>
      <c r="EK8" s="6"/>
      <c r="EM8" s="6"/>
      <c r="EO8" s="6"/>
      <c r="EQ8" s="6"/>
      <c r="ES8" s="6"/>
      <c r="EU8" s="6"/>
      <c r="EW8" s="6"/>
      <c r="EY8" s="6"/>
      <c r="FA8" s="6"/>
      <c r="FC8" s="6"/>
      <c r="FE8" s="6"/>
      <c r="FG8" s="6"/>
      <c r="FI8" s="6"/>
      <c r="FK8" s="6"/>
      <c r="FM8" s="6"/>
      <c r="FO8" s="6"/>
      <c r="FQ8" s="6"/>
      <c r="FS8" s="6"/>
      <c r="FU8" s="6"/>
      <c r="FW8" s="6"/>
      <c r="FY8" s="6"/>
      <c r="GA8" s="6"/>
      <c r="GC8" s="6"/>
      <c r="GE8" s="6"/>
    </row>
    <row r="9" spans="5:187">
      <c r="E9" s="421">
        <v>40421</v>
      </c>
      <c r="F9" s="25">
        <f>'Risk Factors'!F9</f>
        <v>-3.9100000000000003E-2</v>
      </c>
      <c r="G9" s="25">
        <f>'Risk Factors'!G9</f>
        <v>-1.5E-3</v>
      </c>
      <c r="H9" s="25">
        <f>'Risk Factors'!H9</f>
        <v>-1.9900000000000001E-2</v>
      </c>
      <c r="I9" s="25">
        <f>'Risk Factors'!I9</f>
        <v>2.2800000000000001E-2</v>
      </c>
      <c r="J9" s="25">
        <f>BMG!F9</f>
        <v>2.68925E-2</v>
      </c>
      <c r="K9" s="25">
        <f>'Risk Factors'!J9</f>
        <v>1E-4</v>
      </c>
      <c r="L9" s="102"/>
      <c r="M9" s="421">
        <v>40421</v>
      </c>
      <c r="N9" s="25">
        <f>'Risk Factors'!F9</f>
        <v>-3.9100000000000003E-2</v>
      </c>
      <c r="O9" s="25">
        <f>'Risk Factors'!M9</f>
        <v>-2.9499999999999999E-3</v>
      </c>
      <c r="P9" s="25">
        <f>'Risk Factors'!N9</f>
        <v>3.31E-3</v>
      </c>
      <c r="Q9" s="25">
        <f>'Risk Factors'!O9</f>
        <v>9.6200000000000001E-3</v>
      </c>
      <c r="R9" s="25">
        <f>'Risk Factors'!P9</f>
        <v>2.0039999999999999E-2</v>
      </c>
      <c r="S9" s="25">
        <f>'Risk Factors'!R9</f>
        <v>-9.2000000000000003E-4</v>
      </c>
      <c r="T9" s="25">
        <f>'Risk Factors'!S9</f>
        <v>1.1730000000000001E-2</v>
      </c>
      <c r="U9" s="25">
        <f>BMG!F9</f>
        <v>2.68925E-2</v>
      </c>
      <c r="V9" s="25"/>
      <c r="W9" s="421">
        <v>40421</v>
      </c>
      <c r="X9" s="25">
        <f>'Risk Factors'!F9</f>
        <v>-3.9100000000000003E-2</v>
      </c>
      <c r="Y9" s="25">
        <f>'Risk Factors'!G9</f>
        <v>-1.5E-3</v>
      </c>
      <c r="Z9" s="25">
        <f>'Risk Factors'!H9</f>
        <v>-1.9900000000000001E-2</v>
      </c>
      <c r="AA9" s="25">
        <f>'Risk Factors'!T9</f>
        <v>1.1630000000000001E-2</v>
      </c>
      <c r="AB9" s="25">
        <f>'Risk Factors'!U9</f>
        <v>-4.2300000000000003E-3</v>
      </c>
      <c r="AC9" s="25">
        <f>BMG!F9</f>
        <v>2.68925E-2</v>
      </c>
      <c r="AE9" s="6"/>
      <c r="AG9" s="6"/>
      <c r="AI9" s="6"/>
      <c r="AK9" s="6"/>
      <c r="AM9" s="6"/>
      <c r="AO9" s="6"/>
      <c r="AQ9" s="6"/>
      <c r="AS9" s="6"/>
      <c r="AU9" s="6"/>
      <c r="AW9" s="6"/>
      <c r="AY9" s="6"/>
      <c r="BA9" s="6"/>
      <c r="BC9" s="6"/>
      <c r="BE9" s="6"/>
      <c r="BG9" s="6"/>
      <c r="BI9" s="6"/>
      <c r="BK9" s="6"/>
      <c r="BM9" s="6"/>
      <c r="BO9" s="6"/>
      <c r="BQ9" s="6"/>
      <c r="BS9" s="6"/>
      <c r="BU9" s="6"/>
      <c r="BW9" s="6"/>
      <c r="BY9" s="6"/>
      <c r="CA9" s="6"/>
      <c r="CC9" s="6"/>
      <c r="CE9" s="6"/>
      <c r="CG9" s="6"/>
      <c r="CI9" s="6"/>
      <c r="CK9" s="6"/>
      <c r="CM9" s="6"/>
      <c r="CO9" s="6"/>
      <c r="CQ9" s="6"/>
      <c r="CS9" s="6"/>
      <c r="CU9" s="6"/>
      <c r="CW9" s="6"/>
      <c r="CY9" s="6"/>
      <c r="DA9" s="6"/>
      <c r="DC9" s="6"/>
      <c r="DE9" s="6"/>
      <c r="DG9" s="6"/>
      <c r="DI9" s="6"/>
      <c r="DK9" s="6"/>
      <c r="DM9" s="6"/>
      <c r="DO9" s="6"/>
      <c r="DQ9" s="6"/>
      <c r="DS9" s="6"/>
      <c r="DU9" s="6"/>
      <c r="DW9" s="6"/>
      <c r="DY9" s="6"/>
      <c r="EA9" s="6"/>
      <c r="EC9" s="6"/>
      <c r="EE9" s="6"/>
      <c r="EG9" s="6"/>
      <c r="EI9" s="6"/>
      <c r="EK9" s="6"/>
      <c r="EM9" s="6"/>
      <c r="EO9" s="6"/>
      <c r="EQ9" s="6"/>
      <c r="ES9" s="6"/>
      <c r="EU9" s="6"/>
      <c r="EW9" s="6"/>
      <c r="EY9" s="6"/>
      <c r="FA9" s="6"/>
      <c r="FC9" s="6"/>
      <c r="FE9" s="6"/>
      <c r="FG9" s="6"/>
      <c r="FI9" s="6"/>
      <c r="FK9" s="6"/>
      <c r="FM9" s="6"/>
      <c r="FO9" s="6"/>
      <c r="FQ9" s="6"/>
      <c r="FS9" s="6"/>
      <c r="FU9" s="6"/>
      <c r="FW9" s="6"/>
      <c r="FY9" s="6"/>
      <c r="GA9" s="6"/>
      <c r="GC9" s="6"/>
      <c r="GE9" s="6"/>
    </row>
    <row r="10" spans="5:187">
      <c r="E10" s="421">
        <v>40451</v>
      </c>
      <c r="F10" s="25">
        <f>'Risk Factors'!F10</f>
        <v>9.8500000000000004E-2</v>
      </c>
      <c r="G10" s="25">
        <f>'Risk Factors'!G10</f>
        <v>1.5900000000000001E-2</v>
      </c>
      <c r="H10" s="25">
        <f>'Risk Factors'!H10</f>
        <v>-1.6299999999999999E-2</v>
      </c>
      <c r="I10" s="25">
        <f>'Risk Factors'!I10</f>
        <v>2.12E-2</v>
      </c>
      <c r="J10" s="25">
        <f>BMG!F10</f>
        <v>-2.5877600000000001E-2</v>
      </c>
      <c r="K10" s="25">
        <f>'Risk Factors'!J10</f>
        <v>1E-4</v>
      </c>
      <c r="L10" s="102"/>
      <c r="M10" s="421">
        <v>40451</v>
      </c>
      <c r="N10" s="25">
        <f>'Risk Factors'!F10</f>
        <v>9.8500000000000004E-2</v>
      </c>
      <c r="O10" s="25">
        <f>'Risk Factors'!M10</f>
        <v>3.5130000000000002E-2</v>
      </c>
      <c r="P10" s="25">
        <f>'Risk Factors'!N10</f>
        <v>3.6569999999999998E-2</v>
      </c>
      <c r="Q10" s="25">
        <f>'Risk Factors'!O10</f>
        <v>3.8850000000000003E-2</v>
      </c>
      <c r="R10" s="25">
        <f>'Risk Factors'!P10</f>
        <v>2.4760000000000001E-2</v>
      </c>
      <c r="S10" s="25">
        <f>'Risk Factors'!R10</f>
        <v>4.2049999999999997E-2</v>
      </c>
      <c r="T10" s="25">
        <f>'Risk Factors'!S10</f>
        <v>2.462E-2</v>
      </c>
      <c r="U10" s="25">
        <f>BMG!F10</f>
        <v>-2.5877600000000001E-2</v>
      </c>
      <c r="V10" s="25"/>
      <c r="W10" s="421">
        <v>40451</v>
      </c>
      <c r="X10" s="25">
        <f>'Risk Factors'!F10</f>
        <v>9.8500000000000004E-2</v>
      </c>
      <c r="Y10" s="25">
        <f>'Risk Factors'!G10</f>
        <v>1.5900000000000001E-2</v>
      </c>
      <c r="Z10" s="25">
        <f>'Risk Factors'!H10</f>
        <v>-1.6299999999999999E-2</v>
      </c>
      <c r="AA10" s="25">
        <f>'Risk Factors'!T10</f>
        <v>2.452E-2</v>
      </c>
      <c r="AB10" s="25">
        <f>'Risk Factors'!U10</f>
        <v>5.4799999999999988E-3</v>
      </c>
      <c r="AC10" s="25">
        <f>BMG!F10</f>
        <v>-2.5877600000000001E-2</v>
      </c>
      <c r="AE10" s="6"/>
      <c r="AG10" s="6"/>
      <c r="AI10" s="6"/>
      <c r="AK10" s="6"/>
      <c r="AM10" s="6"/>
      <c r="AO10" s="6"/>
      <c r="AQ10" s="6"/>
      <c r="AS10" s="6"/>
      <c r="AU10" s="6"/>
      <c r="AW10" s="6"/>
      <c r="AY10" s="6"/>
      <c r="BA10" s="6"/>
      <c r="BC10" s="6"/>
      <c r="BE10" s="6"/>
      <c r="BG10" s="6"/>
      <c r="BI10" s="6"/>
      <c r="BK10" s="6"/>
      <c r="BM10" s="6"/>
      <c r="BO10" s="6"/>
      <c r="BQ10" s="6"/>
      <c r="BS10" s="6"/>
      <c r="BU10" s="6"/>
      <c r="BW10" s="6"/>
      <c r="BY10" s="6"/>
      <c r="CA10" s="6"/>
      <c r="CC10" s="6"/>
      <c r="CE10" s="6"/>
      <c r="CG10" s="6"/>
      <c r="CI10" s="6"/>
      <c r="CK10" s="6"/>
      <c r="CM10" s="6"/>
      <c r="CO10" s="6"/>
      <c r="CQ10" s="6"/>
      <c r="CS10" s="6"/>
      <c r="CU10" s="6"/>
      <c r="CW10" s="6"/>
      <c r="CY10" s="6"/>
      <c r="DA10" s="6"/>
      <c r="DC10" s="6"/>
      <c r="DE10" s="6"/>
      <c r="DG10" s="6"/>
      <c r="DI10" s="6"/>
      <c r="DK10" s="6"/>
      <c r="DM10" s="6"/>
      <c r="DO10" s="6"/>
      <c r="DQ10" s="6"/>
      <c r="DS10" s="6"/>
      <c r="DU10" s="6"/>
      <c r="DW10" s="6"/>
      <c r="DY10" s="6"/>
      <c r="EA10" s="6"/>
      <c r="EC10" s="6"/>
      <c r="EE10" s="6"/>
      <c r="EG10" s="6"/>
      <c r="EI10" s="6"/>
      <c r="EK10" s="6"/>
      <c r="EM10" s="6"/>
      <c r="EO10" s="6"/>
      <c r="EQ10" s="6"/>
      <c r="ES10" s="6"/>
      <c r="EU10" s="6"/>
      <c r="EW10" s="6"/>
      <c r="EY10" s="6"/>
      <c r="FA10" s="6"/>
      <c r="FC10" s="6"/>
      <c r="FE10" s="6"/>
      <c r="FG10" s="6"/>
      <c r="FI10" s="6"/>
      <c r="FK10" s="6"/>
      <c r="FM10" s="6"/>
      <c r="FO10" s="6"/>
      <c r="FQ10" s="6"/>
      <c r="FS10" s="6"/>
      <c r="FU10" s="6"/>
      <c r="FW10" s="6"/>
      <c r="FY10" s="6"/>
      <c r="GA10" s="6"/>
      <c r="GC10" s="6"/>
      <c r="GE10" s="6"/>
    </row>
    <row r="11" spans="5:187">
      <c r="E11" s="421">
        <v>40482</v>
      </c>
      <c r="F11" s="25">
        <f>'Risk Factors'!F11</f>
        <v>3.9399999999999998E-2</v>
      </c>
      <c r="G11" s="25">
        <f>'Risk Factors'!G11</f>
        <v>-4.0000000000000002E-4</v>
      </c>
      <c r="H11" s="25">
        <f>'Risk Factors'!H11</f>
        <v>-1.2E-2</v>
      </c>
      <c r="I11" s="25">
        <f>'Risk Factors'!I11</f>
        <v>5.5999999999999999E-3</v>
      </c>
      <c r="J11" s="25">
        <f>BMG!F11</f>
        <v>7.1040000000000003E-4</v>
      </c>
      <c r="K11" s="25">
        <f>'Risk Factors'!J11</f>
        <v>1E-4</v>
      </c>
      <c r="L11" s="102"/>
      <c r="M11" s="421">
        <v>40482</v>
      </c>
      <c r="N11" s="25">
        <f>'Risk Factors'!F11</f>
        <v>3.9399999999999998E-2</v>
      </c>
      <c r="O11" s="25">
        <f>'Risk Factors'!M11</f>
        <v>1.511E-2</v>
      </c>
      <c r="P11" s="25">
        <f>'Risk Factors'!N11</f>
        <v>1.583E-2</v>
      </c>
      <c r="Q11" s="25">
        <f>'Risk Factors'!O11</f>
        <v>1.6129999999999999E-2</v>
      </c>
      <c r="R11" s="25">
        <f>'Risk Factors'!P11</f>
        <v>1.146E-2</v>
      </c>
      <c r="S11" s="25">
        <f>'Risk Factors'!R11</f>
        <v>2.6599999999999999E-2</v>
      </c>
      <c r="T11" s="25">
        <f>'Risk Factors'!S11</f>
        <v>1.7260000000000001E-2</v>
      </c>
      <c r="U11" s="25">
        <f>BMG!F11</f>
        <v>7.1040000000000003E-4</v>
      </c>
      <c r="V11" s="25"/>
      <c r="W11" s="421">
        <v>40482</v>
      </c>
      <c r="X11" s="25">
        <f>'Risk Factors'!F11</f>
        <v>3.9399999999999998E-2</v>
      </c>
      <c r="Y11" s="25">
        <f>'Risk Factors'!G11</f>
        <v>-4.0000000000000002E-4</v>
      </c>
      <c r="Z11" s="25">
        <f>'Risk Factors'!H11</f>
        <v>-1.2E-2</v>
      </c>
      <c r="AA11" s="25">
        <f>'Risk Factors'!T11</f>
        <v>1.7160000000000002E-2</v>
      </c>
      <c r="AB11" s="25">
        <f>'Risk Factors'!U11</f>
        <v>1.0769999999999998E-2</v>
      </c>
      <c r="AC11" s="25">
        <f>BMG!F11</f>
        <v>7.1040000000000003E-4</v>
      </c>
      <c r="AE11" s="6"/>
      <c r="AG11" s="6"/>
      <c r="AI11" s="6"/>
      <c r="AK11" s="6"/>
      <c r="AM11" s="6"/>
      <c r="AO11" s="6"/>
      <c r="AQ11" s="6"/>
      <c r="AS11" s="6"/>
      <c r="AU11" s="6"/>
      <c r="AW11" s="6"/>
      <c r="AY11" s="6"/>
      <c r="BA11" s="6"/>
      <c r="BC11" s="6"/>
      <c r="BE11" s="6"/>
      <c r="BG11" s="6"/>
      <c r="BI11" s="6"/>
      <c r="BK11" s="6"/>
      <c r="BM11" s="6"/>
      <c r="BO11" s="6"/>
      <c r="BQ11" s="6"/>
      <c r="BS11" s="6"/>
      <c r="BU11" s="6"/>
      <c r="BW11" s="6"/>
      <c r="BY11" s="6"/>
      <c r="CA11" s="6"/>
      <c r="CC11" s="6"/>
      <c r="CE11" s="6"/>
      <c r="CG11" s="6"/>
      <c r="CI11" s="6"/>
      <c r="CK11" s="6"/>
      <c r="CM11" s="6"/>
      <c r="CO11" s="6"/>
      <c r="CQ11" s="6"/>
      <c r="CS11" s="6"/>
      <c r="CU11" s="6"/>
      <c r="CW11" s="6"/>
      <c r="CY11" s="6"/>
      <c r="DA11" s="6"/>
      <c r="DC11" s="6"/>
      <c r="DE11" s="6"/>
      <c r="DG11" s="6"/>
      <c r="DI11" s="6"/>
      <c r="DK11" s="6"/>
      <c r="DM11" s="6"/>
      <c r="DO11" s="6"/>
      <c r="DQ11" s="6"/>
      <c r="DS11" s="6"/>
      <c r="DU11" s="6"/>
      <c r="DW11" s="6"/>
      <c r="DY11" s="6"/>
      <c r="EA11" s="6"/>
      <c r="EC11" s="6"/>
      <c r="EE11" s="6"/>
      <c r="EG11" s="6"/>
      <c r="EI11" s="6"/>
      <c r="EK11" s="6"/>
      <c r="EM11" s="6"/>
      <c r="EO11" s="6"/>
      <c r="EQ11" s="6"/>
      <c r="ES11" s="6"/>
      <c r="EU11" s="6"/>
      <c r="EW11" s="6"/>
      <c r="EY11" s="6"/>
      <c r="FA11" s="6"/>
      <c r="FC11" s="6"/>
      <c r="FE11" s="6"/>
      <c r="FG11" s="6"/>
      <c r="FI11" s="6"/>
      <c r="FK11" s="6"/>
      <c r="FM11" s="6"/>
      <c r="FO11" s="6"/>
      <c r="FQ11" s="6"/>
      <c r="FS11" s="6"/>
      <c r="FU11" s="6"/>
      <c r="FW11" s="6"/>
      <c r="FY11" s="6"/>
      <c r="GA11" s="6"/>
      <c r="GC11" s="6"/>
      <c r="GE11" s="6"/>
    </row>
    <row r="12" spans="5:187">
      <c r="E12" s="421">
        <v>40512</v>
      </c>
      <c r="F12" s="25">
        <f>'Risk Factors'!F12</f>
        <v>-2.1700000000000001E-2</v>
      </c>
      <c r="G12" s="25">
        <f>'Risk Factors'!G12</f>
        <v>2.1000000000000001E-2</v>
      </c>
      <c r="H12" s="25">
        <f>'Risk Factors'!H12</f>
        <v>-6.7000000000000002E-3</v>
      </c>
      <c r="I12" s="25">
        <f>'Risk Factors'!I12</f>
        <v>4.36E-2</v>
      </c>
      <c r="J12" s="25">
        <f>BMG!F12</f>
        <v>2.7622500000000001E-2</v>
      </c>
      <c r="K12" s="25">
        <f>'Risk Factors'!J12</f>
        <v>1E-4</v>
      </c>
      <c r="L12" s="102"/>
      <c r="M12" s="421">
        <v>40512</v>
      </c>
      <c r="N12" s="25">
        <f>'Risk Factors'!F12</f>
        <v>-2.1700000000000001E-2</v>
      </c>
      <c r="O12" s="25">
        <f>'Risk Factors'!M12</f>
        <v>-3.1960000000000002E-2</v>
      </c>
      <c r="P12" s="25">
        <f>'Risk Factors'!N12</f>
        <v>-3.8809999999999997E-2</v>
      </c>
      <c r="Q12" s="25">
        <f>'Risk Factors'!O12</f>
        <v>-4.2950000000000002E-2</v>
      </c>
      <c r="R12" s="25">
        <f>'Risk Factors'!P12</f>
        <v>-3.5150000000000001E-2</v>
      </c>
      <c r="S12" s="25">
        <f>'Risk Factors'!R12</f>
        <v>-2.725E-2</v>
      </c>
      <c r="T12" s="25">
        <f>'Risk Factors'!S12</f>
        <v>-4.079E-2</v>
      </c>
      <c r="U12" s="25">
        <f>BMG!F12</f>
        <v>2.7622500000000001E-2</v>
      </c>
      <c r="V12" s="25"/>
      <c r="W12" s="421">
        <v>40512</v>
      </c>
      <c r="X12" s="25">
        <f>'Risk Factors'!F12</f>
        <v>-2.1700000000000001E-2</v>
      </c>
      <c r="Y12" s="25">
        <f>'Risk Factors'!G12</f>
        <v>2.1000000000000001E-2</v>
      </c>
      <c r="Z12" s="25">
        <f>'Risk Factors'!H12</f>
        <v>-6.7000000000000002E-3</v>
      </c>
      <c r="AA12" s="25">
        <f>'Risk Factors'!T12</f>
        <v>-4.0890000000000003E-2</v>
      </c>
      <c r="AB12" s="25">
        <f>'Risk Factors'!U12</f>
        <v>1.1559999999999997E-2</v>
      </c>
      <c r="AC12" s="25">
        <f>BMG!F12</f>
        <v>2.7622500000000001E-2</v>
      </c>
      <c r="AE12" s="6"/>
      <c r="AG12" s="6"/>
      <c r="AI12" s="6"/>
      <c r="AK12" s="6"/>
      <c r="AM12" s="6"/>
      <c r="AO12" s="6"/>
      <c r="AQ12" s="6"/>
      <c r="AS12" s="6"/>
      <c r="AU12" s="6"/>
      <c r="AW12" s="6"/>
      <c r="AY12" s="6"/>
      <c r="BA12" s="6"/>
      <c r="BC12" s="6"/>
      <c r="BE12" s="6"/>
      <c r="BG12" s="6"/>
      <c r="BI12" s="6"/>
      <c r="BK12" s="6"/>
      <c r="BM12" s="6"/>
      <c r="BO12" s="6"/>
      <c r="BQ12" s="6"/>
      <c r="BS12" s="6"/>
      <c r="BU12" s="6"/>
      <c r="BW12" s="6"/>
      <c r="BY12" s="6"/>
      <c r="CA12" s="6"/>
      <c r="CC12" s="6"/>
      <c r="CE12" s="6"/>
      <c r="CG12" s="6"/>
      <c r="CI12" s="6"/>
      <c r="CK12" s="6"/>
      <c r="CM12" s="6"/>
      <c r="CO12" s="6"/>
      <c r="CQ12" s="6"/>
      <c r="CS12" s="6"/>
      <c r="CU12" s="6"/>
      <c r="CW12" s="6"/>
      <c r="CY12" s="6"/>
      <c r="DA12" s="6"/>
      <c r="DC12" s="6"/>
      <c r="DE12" s="6"/>
      <c r="DG12" s="6"/>
      <c r="DI12" s="6"/>
      <c r="DK12" s="6"/>
      <c r="DM12" s="6"/>
      <c r="DO12" s="6"/>
      <c r="DQ12" s="6"/>
      <c r="DS12" s="6"/>
      <c r="DU12" s="6"/>
      <c r="DW12" s="6"/>
      <c r="DY12" s="6"/>
      <c r="EA12" s="6"/>
      <c r="EC12" s="6"/>
      <c r="EE12" s="6"/>
      <c r="EG12" s="6"/>
      <c r="EI12" s="6"/>
      <c r="EK12" s="6"/>
      <c r="EM12" s="6"/>
      <c r="EO12" s="6"/>
      <c r="EQ12" s="6"/>
      <c r="ES12" s="6"/>
      <c r="EU12" s="6"/>
      <c r="EW12" s="6"/>
      <c r="EY12" s="6"/>
      <c r="FA12" s="6"/>
      <c r="FC12" s="6"/>
      <c r="FE12" s="6"/>
      <c r="FG12" s="6"/>
      <c r="FI12" s="6"/>
      <c r="FK12" s="6"/>
      <c r="FM12" s="6"/>
      <c r="FO12" s="6"/>
      <c r="FQ12" s="6"/>
      <c r="FS12" s="6"/>
      <c r="FU12" s="6"/>
      <c r="FW12" s="6"/>
      <c r="FY12" s="6"/>
      <c r="GA12" s="6"/>
      <c r="GC12" s="6"/>
      <c r="GE12" s="6"/>
    </row>
    <row r="13" spans="5:187">
      <c r="E13" s="421">
        <v>40543</v>
      </c>
      <c r="F13" s="25">
        <f>'Risk Factors'!F13</f>
        <v>7.6200000000000004E-2</v>
      </c>
      <c r="G13" s="25">
        <f>'Risk Factors'!G13</f>
        <v>1.9699999999999999E-2</v>
      </c>
      <c r="H13" s="25">
        <f>'Risk Factors'!H13</f>
        <v>1.9199999999999998E-2</v>
      </c>
      <c r="I13" s="25">
        <f>'Risk Factors'!I13</f>
        <v>-4.8999999999999998E-3</v>
      </c>
      <c r="J13" s="25">
        <f>BMG!F13</f>
        <v>1.7928800000000002E-2</v>
      </c>
      <c r="K13" s="25">
        <f>'Risk Factors'!J13</f>
        <v>1E-4</v>
      </c>
      <c r="L13" s="102"/>
      <c r="M13" s="421">
        <v>40543</v>
      </c>
      <c r="N13" s="25">
        <f>'Risk Factors'!F13</f>
        <v>7.6200000000000004E-2</v>
      </c>
      <c r="O13" s="25">
        <f>'Risk Factors'!M13</f>
        <v>1.8960000000000001E-2</v>
      </c>
      <c r="P13" s="25">
        <f>'Risk Factors'!N13</f>
        <v>1.303E-2</v>
      </c>
      <c r="Q13" s="25">
        <f>'Risk Factors'!O13</f>
        <v>8.5500000000000003E-3</v>
      </c>
      <c r="R13" s="25">
        <f>'Risk Factors'!P13</f>
        <v>-2.4499999999999999E-3</v>
      </c>
      <c r="S13" s="25">
        <f>'Risk Factors'!R13</f>
        <v>2.2409999999999999E-2</v>
      </c>
      <c r="T13" s="25">
        <f>'Risk Factors'!S13</f>
        <v>1.5480000000000001E-2</v>
      </c>
      <c r="U13" s="25">
        <f>BMG!F13</f>
        <v>1.7928800000000002E-2</v>
      </c>
      <c r="V13" s="25"/>
      <c r="W13" s="421">
        <v>40543</v>
      </c>
      <c r="X13" s="25">
        <f>'Risk Factors'!F13</f>
        <v>7.6200000000000004E-2</v>
      </c>
      <c r="Y13" s="25">
        <f>'Risk Factors'!G13</f>
        <v>1.9699999999999999E-2</v>
      </c>
      <c r="Z13" s="25">
        <f>'Risk Factors'!H13</f>
        <v>1.9199999999999998E-2</v>
      </c>
      <c r="AA13" s="25">
        <f>'Risk Factors'!T13</f>
        <v>1.5380000000000001E-2</v>
      </c>
      <c r="AB13" s="25">
        <f>'Risk Factors'!U13</f>
        <v>9.3799999999999994E-3</v>
      </c>
      <c r="AC13" s="25">
        <f>BMG!F13</f>
        <v>1.7928800000000002E-2</v>
      </c>
      <c r="AE13" s="6"/>
      <c r="AG13" s="6"/>
      <c r="AI13" s="6"/>
      <c r="AK13" s="6"/>
      <c r="AM13" s="6"/>
      <c r="AO13" s="6"/>
      <c r="AQ13" s="6"/>
      <c r="AS13" s="6"/>
      <c r="AU13" s="6"/>
      <c r="AW13" s="6"/>
      <c r="AY13" s="6"/>
      <c r="BA13" s="6"/>
      <c r="BC13" s="6"/>
      <c r="BE13" s="6"/>
      <c r="BG13" s="6"/>
      <c r="BI13" s="6"/>
      <c r="BK13" s="6"/>
      <c r="BM13" s="6"/>
      <c r="BO13" s="6"/>
      <c r="BQ13" s="6"/>
      <c r="BS13" s="6"/>
      <c r="BU13" s="6"/>
      <c r="BW13" s="6"/>
      <c r="BY13" s="6"/>
      <c r="CA13" s="6"/>
      <c r="CC13" s="6"/>
      <c r="CE13" s="6"/>
      <c r="CG13" s="6"/>
      <c r="CI13" s="6"/>
      <c r="CK13" s="6"/>
      <c r="CM13" s="6"/>
      <c r="CO13" s="6"/>
      <c r="CQ13" s="6"/>
      <c r="CS13" s="6"/>
      <c r="CU13" s="6"/>
      <c r="CW13" s="6"/>
      <c r="CY13" s="6"/>
      <c r="DA13" s="6"/>
      <c r="DC13" s="6"/>
      <c r="DE13" s="6"/>
      <c r="DG13" s="6"/>
      <c r="DI13" s="6"/>
      <c r="DK13" s="6"/>
      <c r="DM13" s="6"/>
      <c r="DO13" s="6"/>
      <c r="DQ13" s="6"/>
      <c r="DS13" s="6"/>
      <c r="DU13" s="6"/>
      <c r="DW13" s="6"/>
      <c r="DY13" s="6"/>
      <c r="EA13" s="6"/>
      <c r="EC13" s="6"/>
      <c r="EE13" s="6"/>
      <c r="EG13" s="6"/>
      <c r="EI13" s="6"/>
      <c r="EK13" s="6"/>
      <c r="EM13" s="6"/>
      <c r="EO13" s="6"/>
      <c r="EQ13" s="6"/>
      <c r="ES13" s="6"/>
      <c r="EU13" s="6"/>
      <c r="EW13" s="6"/>
      <c r="EY13" s="6"/>
      <c r="FA13" s="6"/>
      <c r="FC13" s="6"/>
      <c r="FE13" s="6"/>
      <c r="FG13" s="6"/>
      <c r="FI13" s="6"/>
      <c r="FK13" s="6"/>
      <c r="FM13" s="6"/>
      <c r="FO13" s="6"/>
      <c r="FQ13" s="6"/>
      <c r="FS13" s="6"/>
      <c r="FU13" s="6"/>
      <c r="FW13" s="6"/>
      <c r="FY13" s="6"/>
      <c r="GA13" s="6"/>
      <c r="GC13" s="6"/>
      <c r="GE13" s="6"/>
    </row>
    <row r="14" spans="5:187">
      <c r="E14" s="421">
        <v>40574</v>
      </c>
      <c r="F14" s="25">
        <f>'Risk Factors'!F14</f>
        <v>2.1100000000000001E-2</v>
      </c>
      <c r="G14" s="25">
        <f>'Risk Factors'!G14</f>
        <v>-1.5900000000000001E-2</v>
      </c>
      <c r="H14" s="25">
        <f>'Risk Factors'!H14</f>
        <v>2.7199999999999998E-2</v>
      </c>
      <c r="I14" s="25">
        <f>'Risk Factors'!I14</f>
        <v>-1.7000000000000001E-2</v>
      </c>
      <c r="J14" s="25">
        <f>BMG!F14</f>
        <v>-1.32926E-2</v>
      </c>
      <c r="K14" s="25">
        <f>'Risk Factors'!J14</f>
        <v>1E-4</v>
      </c>
      <c r="L14" s="102"/>
      <c r="M14" s="421">
        <v>40574</v>
      </c>
      <c r="N14" s="25">
        <f>'Risk Factors'!F14</f>
        <v>2.1100000000000001E-2</v>
      </c>
      <c r="O14" s="25">
        <f>'Risk Factors'!M14</f>
        <v>8.0999999999999996E-3</v>
      </c>
      <c r="P14" s="25">
        <f>'Risk Factors'!N14</f>
        <v>9.2499999999999995E-3</v>
      </c>
      <c r="Q14" s="25">
        <f>'Risk Factors'!O14</f>
        <v>1.176E-2</v>
      </c>
      <c r="R14" s="25">
        <f>'Risk Factors'!P14</f>
        <v>6.6100000000000004E-3</v>
      </c>
      <c r="S14" s="25">
        <f>'Risk Factors'!R14</f>
        <v>2.5479999999999999E-2</v>
      </c>
      <c r="T14" s="25">
        <f>'Risk Factors'!S14</f>
        <v>2.6099999999999999E-3</v>
      </c>
      <c r="U14" s="25">
        <f>BMG!F14</f>
        <v>-1.32926E-2</v>
      </c>
      <c r="V14" s="25"/>
      <c r="W14" s="421">
        <v>40574</v>
      </c>
      <c r="X14" s="25">
        <f>'Risk Factors'!F14</f>
        <v>2.1100000000000001E-2</v>
      </c>
      <c r="Y14" s="25">
        <f>'Risk Factors'!G14</f>
        <v>-1.5900000000000001E-2</v>
      </c>
      <c r="Z14" s="25">
        <f>'Risk Factors'!H14</f>
        <v>2.7199999999999998E-2</v>
      </c>
      <c r="AA14" s="25">
        <f>'Risk Factors'!T14</f>
        <v>2.5100000000000001E-3</v>
      </c>
      <c r="AB14" s="25">
        <f>'Risk Factors'!U14</f>
        <v>1.6230000000000001E-2</v>
      </c>
      <c r="AC14" s="25">
        <f>BMG!F14</f>
        <v>-1.32926E-2</v>
      </c>
      <c r="AE14" s="6"/>
      <c r="AG14" s="6"/>
      <c r="AI14" s="6"/>
      <c r="AK14" s="6"/>
      <c r="AM14" s="6"/>
      <c r="AO14" s="6"/>
      <c r="AQ14" s="6"/>
      <c r="AS14" s="6"/>
      <c r="AU14" s="6"/>
      <c r="AW14" s="6"/>
      <c r="AY14" s="6"/>
      <c r="BA14" s="6"/>
      <c r="BC14" s="6"/>
      <c r="BE14" s="6"/>
      <c r="BG14" s="6"/>
      <c r="BI14" s="6"/>
      <c r="BK14" s="6"/>
      <c r="BM14" s="6"/>
      <c r="BO14" s="6"/>
      <c r="BQ14" s="6"/>
      <c r="BS14" s="6"/>
      <c r="BU14" s="6"/>
      <c r="BW14" s="6"/>
      <c r="BY14" s="6"/>
      <c r="CA14" s="6"/>
      <c r="CC14" s="6"/>
      <c r="CE14" s="6"/>
      <c r="CG14" s="6"/>
      <c r="CI14" s="6"/>
      <c r="CK14" s="6"/>
      <c r="CM14" s="6"/>
      <c r="CO14" s="6"/>
      <c r="CQ14" s="6"/>
      <c r="CS14" s="6"/>
      <c r="CU14" s="6"/>
      <c r="CW14" s="6"/>
      <c r="CY14" s="6"/>
      <c r="DA14" s="6"/>
      <c r="DC14" s="6"/>
      <c r="DE14" s="6"/>
      <c r="DG14" s="6"/>
      <c r="DI14" s="6"/>
      <c r="DK14" s="6"/>
      <c r="DM14" s="6"/>
      <c r="DO14" s="6"/>
      <c r="DQ14" s="6"/>
      <c r="DS14" s="6"/>
      <c r="DU14" s="6"/>
      <c r="DW14" s="6"/>
      <c r="DY14" s="6"/>
      <c r="EA14" s="6"/>
      <c r="EC14" s="6"/>
      <c r="EE14" s="6"/>
      <c r="EG14" s="6"/>
      <c r="EI14" s="6"/>
      <c r="EK14" s="6"/>
      <c r="EM14" s="6"/>
      <c r="EO14" s="6"/>
      <c r="EQ14" s="6"/>
      <c r="ES14" s="6"/>
      <c r="EU14" s="6"/>
      <c r="EW14" s="6"/>
      <c r="EY14" s="6"/>
      <c r="FA14" s="6"/>
      <c r="FC14" s="6"/>
      <c r="FE14" s="6"/>
      <c r="FG14" s="6"/>
      <c r="FI14" s="6"/>
      <c r="FK14" s="6"/>
      <c r="FM14" s="6"/>
      <c r="FO14" s="6"/>
      <c r="FQ14" s="6"/>
      <c r="FS14" s="6"/>
      <c r="FU14" s="6"/>
      <c r="FW14" s="6"/>
      <c r="FY14" s="6"/>
      <c r="GA14" s="6"/>
      <c r="GC14" s="6"/>
      <c r="GE14" s="6"/>
    </row>
    <row r="15" spans="5:187">
      <c r="E15" s="421">
        <v>40602</v>
      </c>
      <c r="F15" s="25">
        <f>'Risk Factors'!F15</f>
        <v>3.4799999999999998E-2</v>
      </c>
      <c r="G15" s="25">
        <f>'Risk Factors'!G15</f>
        <v>1.9E-3</v>
      </c>
      <c r="H15" s="25">
        <f>'Risk Factors'!H15</f>
        <v>4.5999999999999999E-3</v>
      </c>
      <c r="I15" s="25">
        <f>'Risk Factors'!I15</f>
        <v>1.24E-2</v>
      </c>
      <c r="J15" s="25">
        <f>BMG!F15</f>
        <v>2.2718499999999999E-2</v>
      </c>
      <c r="K15" s="25">
        <f>'Risk Factors'!J15</f>
        <v>1E-4</v>
      </c>
      <c r="L15" s="102"/>
      <c r="M15" s="421">
        <v>40602</v>
      </c>
      <c r="N15" s="25">
        <f>'Risk Factors'!F15</f>
        <v>3.4799999999999998E-2</v>
      </c>
      <c r="O15" s="25">
        <f>'Risk Factors'!M15</f>
        <v>7.5599999999999999E-3</v>
      </c>
      <c r="P15" s="25">
        <f>'Risk Factors'!N15</f>
        <v>8.8599999999999998E-3</v>
      </c>
      <c r="Q15" s="25">
        <f>'Risk Factors'!O15</f>
        <v>1.17E-2</v>
      </c>
      <c r="R15" s="25">
        <f>'Risk Factors'!P15</f>
        <v>1.137E-2</v>
      </c>
      <c r="S15" s="25">
        <f>'Risk Factors'!R15</f>
        <v>1.576E-2</v>
      </c>
      <c r="T15" s="25">
        <f>'Risk Factors'!S15</f>
        <v>2.4299999999999999E-3</v>
      </c>
      <c r="U15" s="25">
        <f>BMG!F15</f>
        <v>2.2718499999999999E-2</v>
      </c>
      <c r="V15" s="25"/>
      <c r="W15" s="421">
        <v>40602</v>
      </c>
      <c r="X15" s="25">
        <f>'Risk Factors'!F15</f>
        <v>3.4799999999999998E-2</v>
      </c>
      <c r="Y15" s="25">
        <f>'Risk Factors'!G15</f>
        <v>1.9E-3</v>
      </c>
      <c r="Z15" s="25">
        <f>'Risk Factors'!H15</f>
        <v>4.5999999999999999E-3</v>
      </c>
      <c r="AA15" s="25">
        <f>'Risk Factors'!T15</f>
        <v>2.33E-3</v>
      </c>
      <c r="AB15" s="25">
        <f>'Risk Factors'!U15</f>
        <v>6.8999999999999999E-3</v>
      </c>
      <c r="AC15" s="25">
        <f>BMG!F15</f>
        <v>2.2718499999999999E-2</v>
      </c>
      <c r="AE15" s="6"/>
      <c r="AG15" s="6"/>
      <c r="AI15" s="6"/>
      <c r="AK15" s="6"/>
      <c r="AM15" s="6"/>
      <c r="AO15" s="6"/>
      <c r="AQ15" s="6"/>
      <c r="AS15" s="6"/>
      <c r="AU15" s="6"/>
      <c r="AW15" s="6"/>
      <c r="AY15" s="6"/>
      <c r="BA15" s="6"/>
      <c r="BC15" s="6"/>
      <c r="BE15" s="6"/>
      <c r="BG15" s="6"/>
      <c r="BI15" s="6"/>
      <c r="BK15" s="6"/>
      <c r="BM15" s="6"/>
      <c r="BO15" s="6"/>
      <c r="BQ15" s="6"/>
      <c r="BS15" s="6"/>
      <c r="BU15" s="6"/>
      <c r="BW15" s="6"/>
      <c r="BY15" s="6"/>
      <c r="CA15" s="6"/>
      <c r="CC15" s="6"/>
      <c r="CE15" s="6"/>
      <c r="CG15" s="6"/>
      <c r="CI15" s="6"/>
      <c r="CK15" s="6"/>
      <c r="CM15" s="6"/>
      <c r="CO15" s="6"/>
      <c r="CQ15" s="6"/>
      <c r="CS15" s="6"/>
      <c r="CU15" s="6"/>
      <c r="CW15" s="6"/>
      <c r="CY15" s="6"/>
      <c r="DA15" s="6"/>
      <c r="DC15" s="6"/>
      <c r="DE15" s="6"/>
      <c r="DG15" s="6"/>
      <c r="DI15" s="6"/>
      <c r="DK15" s="6"/>
      <c r="DM15" s="6"/>
      <c r="DO15" s="6"/>
      <c r="DQ15" s="6"/>
      <c r="DS15" s="6"/>
      <c r="DU15" s="6"/>
      <c r="DW15" s="6"/>
      <c r="DY15" s="6"/>
      <c r="EA15" s="6"/>
      <c r="EC15" s="6"/>
      <c r="EE15" s="6"/>
      <c r="EG15" s="6"/>
      <c r="EI15" s="6"/>
      <c r="EK15" s="6"/>
      <c r="EM15" s="6"/>
      <c r="EO15" s="6"/>
      <c r="EQ15" s="6"/>
      <c r="ES15" s="6"/>
      <c r="EU15" s="6"/>
      <c r="EW15" s="6"/>
      <c r="EY15" s="6"/>
      <c r="FA15" s="6"/>
      <c r="FC15" s="6"/>
      <c r="FE15" s="6"/>
      <c r="FG15" s="6"/>
      <c r="FI15" s="6"/>
      <c r="FK15" s="6"/>
      <c r="FM15" s="6"/>
      <c r="FO15" s="6"/>
      <c r="FQ15" s="6"/>
      <c r="FS15" s="6"/>
      <c r="FU15" s="6"/>
      <c r="FW15" s="6"/>
      <c r="FY15" s="6"/>
      <c r="GA15" s="6"/>
      <c r="GC15" s="6"/>
      <c r="GE15" s="6"/>
    </row>
    <row r="16" spans="5:187">
      <c r="E16" s="421">
        <v>40633</v>
      </c>
      <c r="F16" s="25">
        <f>'Risk Factors'!F16</f>
        <v>-6.8999999999999999E-3</v>
      </c>
      <c r="G16" s="25">
        <f>'Risk Factors'!G16</f>
        <v>1.4500000000000001E-2</v>
      </c>
      <c r="H16" s="25">
        <f>'Risk Factors'!H16</f>
        <v>-1.66E-2</v>
      </c>
      <c r="I16" s="25">
        <f>'Risk Factors'!I16</f>
        <v>1.3599999999999999E-2</v>
      </c>
      <c r="J16" s="25">
        <f>BMG!F16</f>
        <v>9.8689999999999997E-4</v>
      </c>
      <c r="K16" s="25">
        <f>'Risk Factors'!J16</f>
        <v>1E-4</v>
      </c>
      <c r="L16" s="102"/>
      <c r="M16" s="421">
        <v>40633</v>
      </c>
      <c r="N16" s="25">
        <f>'Risk Factors'!F16</f>
        <v>-6.8999999999999999E-3</v>
      </c>
      <c r="O16" s="25">
        <f>'Risk Factors'!M16</f>
        <v>1.06E-2</v>
      </c>
      <c r="P16" s="25">
        <f>'Risk Factors'!N16</f>
        <v>9.0100000000000006E-3</v>
      </c>
      <c r="Q16" s="25">
        <f>'Risk Factors'!O16</f>
        <v>6.8599999999999998E-3</v>
      </c>
      <c r="R16" s="25">
        <f>'Risk Factors'!P16</f>
        <v>3.0999999999999999E-3</v>
      </c>
      <c r="S16" s="25">
        <f>'Risk Factors'!R16</f>
        <v>6.7600000000000004E-3</v>
      </c>
      <c r="T16" s="25">
        <f>'Risk Factors'!S16</f>
        <v>3.7499999999999999E-3</v>
      </c>
      <c r="U16" s="25">
        <f>BMG!F16</f>
        <v>9.8689999999999997E-4</v>
      </c>
      <c r="V16" s="25"/>
      <c r="W16" s="421">
        <v>40633</v>
      </c>
      <c r="X16" s="25">
        <f>'Risk Factors'!F16</f>
        <v>-6.8999999999999999E-3</v>
      </c>
      <c r="Y16" s="25">
        <f>'Risk Factors'!G16</f>
        <v>1.4500000000000001E-2</v>
      </c>
      <c r="Z16" s="25">
        <f>'Risk Factors'!H16</f>
        <v>-1.66E-2</v>
      </c>
      <c r="AA16" s="25">
        <f>'Risk Factors'!T16</f>
        <v>3.65E-3</v>
      </c>
      <c r="AB16" s="25">
        <f>'Risk Factors'!U16</f>
        <v>-2.2500000000000003E-3</v>
      </c>
      <c r="AC16" s="25">
        <f>BMG!F16</f>
        <v>9.8689999999999997E-4</v>
      </c>
      <c r="AE16" s="6"/>
      <c r="AG16" s="6"/>
      <c r="AI16" s="6"/>
      <c r="AK16" s="6"/>
      <c r="AM16" s="6"/>
      <c r="AO16" s="6"/>
      <c r="AQ16" s="6"/>
      <c r="AS16" s="6"/>
      <c r="AU16" s="6"/>
      <c r="AW16" s="6"/>
      <c r="AY16" s="6"/>
      <c r="BA16" s="6"/>
      <c r="BC16" s="6"/>
      <c r="BE16" s="6"/>
      <c r="BG16" s="6"/>
      <c r="BI16" s="6"/>
      <c r="BK16" s="6"/>
      <c r="BM16" s="6"/>
      <c r="BO16" s="6"/>
      <c r="BQ16" s="6"/>
      <c r="BS16" s="6"/>
      <c r="BU16" s="6"/>
      <c r="BW16" s="6"/>
      <c r="BY16" s="6"/>
      <c r="CA16" s="6"/>
      <c r="CC16" s="6"/>
      <c r="CE16" s="6"/>
      <c r="CG16" s="6"/>
      <c r="CI16" s="6"/>
      <c r="CK16" s="6"/>
      <c r="CM16" s="6"/>
      <c r="CO16" s="6"/>
      <c r="CQ16" s="6"/>
      <c r="CS16" s="6"/>
      <c r="CU16" s="6"/>
      <c r="CW16" s="6"/>
      <c r="CY16" s="6"/>
      <c r="DA16" s="6"/>
      <c r="DC16" s="6"/>
      <c r="DE16" s="6"/>
      <c r="DG16" s="6"/>
      <c r="DI16" s="6"/>
      <c r="DK16" s="6"/>
      <c r="DM16" s="6"/>
      <c r="DO16" s="6"/>
      <c r="DQ16" s="6"/>
      <c r="DS16" s="6"/>
      <c r="DU16" s="6"/>
      <c r="DW16" s="6"/>
      <c r="DY16" s="6"/>
      <c r="EA16" s="6"/>
      <c r="EC16" s="6"/>
      <c r="EE16" s="6"/>
      <c r="EG16" s="6"/>
      <c r="EI16" s="6"/>
      <c r="EK16" s="6"/>
      <c r="EM16" s="6"/>
      <c r="EO16" s="6"/>
      <c r="EQ16" s="6"/>
      <c r="ES16" s="6"/>
      <c r="EU16" s="6"/>
      <c r="EW16" s="6"/>
      <c r="EY16" s="6"/>
      <c r="FA16" s="6"/>
      <c r="FC16" s="6"/>
      <c r="FE16" s="6"/>
      <c r="FG16" s="6"/>
      <c r="FI16" s="6"/>
      <c r="FK16" s="6"/>
      <c r="FM16" s="6"/>
      <c r="FO16" s="6"/>
      <c r="FQ16" s="6"/>
      <c r="FS16" s="6"/>
      <c r="FU16" s="6"/>
      <c r="FW16" s="6"/>
      <c r="FY16" s="6"/>
      <c r="GA16" s="6"/>
      <c r="GC16" s="6"/>
      <c r="GE16" s="6"/>
    </row>
    <row r="17" spans="5:187">
      <c r="E17" s="421">
        <v>40663</v>
      </c>
      <c r="F17" s="25">
        <f>'Risk Factors'!F17</f>
        <v>4.4600000000000001E-2</v>
      </c>
      <c r="G17" s="25">
        <f>'Risk Factors'!G17</f>
        <v>-6.4000000000000003E-3</v>
      </c>
      <c r="H17" s="25">
        <f>'Risk Factors'!H17</f>
        <v>-1.83E-2</v>
      </c>
      <c r="I17" s="25">
        <f>'Risk Factors'!I17</f>
        <v>1.41E-2</v>
      </c>
      <c r="J17" s="25">
        <f>BMG!F17</f>
        <v>-2.128E-2</v>
      </c>
      <c r="K17" s="25">
        <f>'Risk Factors'!J17</f>
        <v>0</v>
      </c>
      <c r="L17" s="102"/>
      <c r="M17" s="421">
        <v>40663</v>
      </c>
      <c r="N17" s="25">
        <f>'Risk Factors'!F17</f>
        <v>4.4600000000000001E-2</v>
      </c>
      <c r="O17" s="25">
        <f>'Risk Factors'!M17</f>
        <v>2.9579999999999999E-2</v>
      </c>
      <c r="P17" s="25">
        <f>'Risk Factors'!N17</f>
        <v>3.2469999999999999E-2</v>
      </c>
      <c r="Q17" s="25">
        <f>'Risk Factors'!O17</f>
        <v>3.7699999999999997E-2</v>
      </c>
      <c r="R17" s="25">
        <f>'Risk Factors'!P17</f>
        <v>3.2140000000000002E-2</v>
      </c>
      <c r="S17" s="25">
        <f>'Risk Factors'!R17</f>
        <v>2.3460000000000002E-2</v>
      </c>
      <c r="T17" s="25">
        <f>'Risk Factors'!S17</f>
        <v>2.8369999999999999E-2</v>
      </c>
      <c r="U17" s="25">
        <f>BMG!F17</f>
        <v>-2.128E-2</v>
      </c>
      <c r="V17" s="25"/>
      <c r="W17" s="421">
        <v>40663</v>
      </c>
      <c r="X17" s="25">
        <f>'Risk Factors'!F17</f>
        <v>4.4600000000000001E-2</v>
      </c>
      <c r="Y17" s="25">
        <f>'Risk Factors'!G17</f>
        <v>-6.4000000000000003E-3</v>
      </c>
      <c r="Z17" s="25">
        <f>'Risk Factors'!H17</f>
        <v>-1.83E-2</v>
      </c>
      <c r="AA17" s="25">
        <f>'Risk Factors'!T17</f>
        <v>2.8369999999999999E-2</v>
      </c>
      <c r="AB17" s="25">
        <f>'Risk Factors'!U17</f>
        <v>-9.0099999999999972E-3</v>
      </c>
      <c r="AC17" s="25">
        <f>BMG!F17</f>
        <v>-2.128E-2</v>
      </c>
      <c r="AE17" s="6"/>
      <c r="AG17" s="6"/>
      <c r="AI17" s="6"/>
      <c r="AK17" s="6"/>
      <c r="AM17" s="6"/>
      <c r="AO17" s="6"/>
      <c r="AQ17" s="6"/>
      <c r="AS17" s="6"/>
      <c r="AU17" s="6"/>
      <c r="AW17" s="6"/>
      <c r="AY17" s="6"/>
      <c r="BA17" s="6"/>
      <c r="BC17" s="6"/>
      <c r="BE17" s="6"/>
      <c r="BG17" s="6"/>
      <c r="BI17" s="6"/>
      <c r="BK17" s="6"/>
      <c r="BM17" s="6"/>
      <c r="BO17" s="6"/>
      <c r="BQ17" s="6"/>
      <c r="BS17" s="6"/>
      <c r="BU17" s="6"/>
      <c r="BW17" s="6"/>
      <c r="BY17" s="6"/>
      <c r="CA17" s="6"/>
      <c r="CC17" s="6"/>
      <c r="CE17" s="6"/>
      <c r="CG17" s="6"/>
      <c r="CI17" s="6"/>
      <c r="CK17" s="6"/>
      <c r="CM17" s="6"/>
      <c r="CO17" s="6"/>
      <c r="CQ17" s="6"/>
      <c r="CS17" s="6"/>
      <c r="CU17" s="6"/>
      <c r="CW17" s="6"/>
      <c r="CY17" s="6"/>
      <c r="DA17" s="6"/>
      <c r="DC17" s="6"/>
      <c r="DE17" s="6"/>
      <c r="DG17" s="6"/>
      <c r="DI17" s="6"/>
      <c r="DK17" s="6"/>
      <c r="DM17" s="6"/>
      <c r="DO17" s="6"/>
      <c r="DQ17" s="6"/>
      <c r="DS17" s="6"/>
      <c r="DU17" s="6"/>
      <c r="DW17" s="6"/>
      <c r="DY17" s="6"/>
      <c r="EA17" s="6"/>
      <c r="EC17" s="6"/>
      <c r="EE17" s="6"/>
      <c r="EG17" s="6"/>
      <c r="EI17" s="6"/>
      <c r="EK17" s="6"/>
      <c r="EM17" s="6"/>
      <c r="EO17" s="6"/>
      <c r="EQ17" s="6"/>
      <c r="ES17" s="6"/>
      <c r="EU17" s="6"/>
      <c r="EW17" s="6"/>
      <c r="EY17" s="6"/>
      <c r="FA17" s="6"/>
      <c r="FC17" s="6"/>
      <c r="FE17" s="6"/>
      <c r="FG17" s="6"/>
      <c r="FI17" s="6"/>
      <c r="FK17" s="6"/>
      <c r="FM17" s="6"/>
      <c r="FO17" s="6"/>
      <c r="FQ17" s="6"/>
      <c r="FS17" s="6"/>
      <c r="FU17" s="6"/>
      <c r="FW17" s="6"/>
      <c r="FY17" s="6"/>
      <c r="GA17" s="6"/>
      <c r="GC17" s="6"/>
      <c r="GE17" s="6"/>
    </row>
    <row r="18" spans="5:187">
      <c r="E18" s="421">
        <v>40694</v>
      </c>
      <c r="F18" s="25">
        <f>'Risk Factors'!F18</f>
        <v>-2.1000000000000001E-2</v>
      </c>
      <c r="G18" s="25">
        <f>'Risk Factors'!G18</f>
        <v>-5.1999999999999998E-3</v>
      </c>
      <c r="H18" s="25">
        <f>'Risk Factors'!H18</f>
        <v>-1.34E-2</v>
      </c>
      <c r="I18" s="25">
        <f>'Risk Factors'!I18</f>
        <v>3.8E-3</v>
      </c>
      <c r="J18" s="25">
        <f>BMG!F18</f>
        <v>-1.05789E-2</v>
      </c>
      <c r="K18" s="25">
        <f>'Risk Factors'!J18</f>
        <v>0</v>
      </c>
      <c r="L18" s="102"/>
      <c r="M18" s="421">
        <v>40694</v>
      </c>
      <c r="N18" s="25">
        <f>'Risk Factors'!F18</f>
        <v>-2.1000000000000001E-2</v>
      </c>
      <c r="O18" s="25">
        <f>'Risk Factors'!M18</f>
        <v>-1.0359999999999999E-2</v>
      </c>
      <c r="P18" s="25">
        <f>'Risk Factors'!N18</f>
        <v>-3.8400000000000001E-3</v>
      </c>
      <c r="Q18" s="25">
        <f>'Risk Factors'!O18</f>
        <v>-1.01E-3</v>
      </c>
      <c r="R18" s="25">
        <f>'Risk Factors'!P18</f>
        <v>5.4599999999999996E-3</v>
      </c>
      <c r="S18" s="25">
        <f>'Risk Factors'!R18</f>
        <v>-5.1000000000000004E-4</v>
      </c>
      <c r="T18" s="25">
        <f>'Risk Factors'!S18</f>
        <v>-2.1800000000000001E-3</v>
      </c>
      <c r="U18" s="25">
        <f>BMG!F18</f>
        <v>-1.05789E-2</v>
      </c>
      <c r="V18" s="25"/>
      <c r="W18" s="421">
        <v>40694</v>
      </c>
      <c r="X18" s="25">
        <f>'Risk Factors'!F18</f>
        <v>-2.1000000000000001E-2</v>
      </c>
      <c r="Y18" s="25">
        <f>'Risk Factors'!G18</f>
        <v>-5.1999999999999998E-3</v>
      </c>
      <c r="Z18" s="25">
        <f>'Risk Factors'!H18</f>
        <v>-1.34E-2</v>
      </c>
      <c r="AA18" s="25">
        <f>'Risk Factors'!T18</f>
        <v>-2.1800000000000001E-3</v>
      </c>
      <c r="AB18" s="25">
        <f>'Risk Factors'!U18</f>
        <v>3.3300000000000001E-3</v>
      </c>
      <c r="AC18" s="25">
        <f>BMG!F18</f>
        <v>-1.05789E-2</v>
      </c>
      <c r="AE18" s="6"/>
      <c r="AG18" s="6"/>
      <c r="AI18" s="6"/>
      <c r="AK18" s="6"/>
      <c r="AM18" s="6"/>
      <c r="AO18" s="6"/>
      <c r="AQ18" s="6"/>
      <c r="AS18" s="6"/>
      <c r="AU18" s="6"/>
      <c r="AW18" s="6"/>
      <c r="AY18" s="6"/>
      <c r="BA18" s="6"/>
      <c r="BC18" s="6"/>
      <c r="BE18" s="6"/>
      <c r="BG18" s="6"/>
      <c r="BI18" s="6"/>
      <c r="BK18" s="6"/>
      <c r="BM18" s="6"/>
      <c r="BO18" s="6"/>
      <c r="BQ18" s="6"/>
      <c r="BS18" s="6"/>
      <c r="BU18" s="6"/>
      <c r="BW18" s="6"/>
      <c r="BY18" s="6"/>
      <c r="CA18" s="6"/>
      <c r="CC18" s="6"/>
      <c r="CE18" s="6"/>
      <c r="CG18" s="6"/>
      <c r="CI18" s="6"/>
      <c r="CK18" s="6"/>
      <c r="CM18" s="6"/>
      <c r="CO18" s="6"/>
      <c r="CQ18" s="6"/>
      <c r="CS18" s="6"/>
      <c r="CU18" s="6"/>
      <c r="CW18" s="6"/>
      <c r="CY18" s="6"/>
      <c r="DA18" s="6"/>
      <c r="DC18" s="6"/>
      <c r="DE18" s="6"/>
      <c r="DG18" s="6"/>
      <c r="DI18" s="6"/>
      <c r="DK18" s="6"/>
      <c r="DM18" s="6"/>
      <c r="DO18" s="6"/>
      <c r="DQ18" s="6"/>
      <c r="DS18" s="6"/>
      <c r="DU18" s="6"/>
      <c r="DW18" s="6"/>
      <c r="DY18" s="6"/>
      <c r="EA18" s="6"/>
      <c r="EC18" s="6"/>
      <c r="EE18" s="6"/>
      <c r="EG18" s="6"/>
      <c r="EI18" s="6"/>
      <c r="EK18" s="6"/>
      <c r="EM18" s="6"/>
      <c r="EO18" s="6"/>
      <c r="EQ18" s="6"/>
      <c r="ES18" s="6"/>
      <c r="EU18" s="6"/>
      <c r="EW18" s="6"/>
      <c r="EY18" s="6"/>
      <c r="FA18" s="6"/>
      <c r="FC18" s="6"/>
      <c r="FE18" s="6"/>
      <c r="FG18" s="6"/>
      <c r="FI18" s="6"/>
      <c r="FK18" s="6"/>
      <c r="FM18" s="6"/>
      <c r="FO18" s="6"/>
      <c r="FQ18" s="6"/>
      <c r="FS18" s="6"/>
      <c r="FU18" s="6"/>
      <c r="FW18" s="6"/>
      <c r="FY18" s="6"/>
      <c r="GA18" s="6"/>
      <c r="GC18" s="6"/>
      <c r="GE18" s="6"/>
    </row>
    <row r="19" spans="5:187">
      <c r="E19" s="421">
        <v>40724</v>
      </c>
      <c r="F19" s="25">
        <f>'Risk Factors'!F19</f>
        <v>-1.52E-2</v>
      </c>
      <c r="G19" s="25">
        <f>'Risk Factors'!G19</f>
        <v>-4.5999999999999999E-3</v>
      </c>
      <c r="H19" s="25">
        <f>'Risk Factors'!H19</f>
        <v>5.7999999999999996E-3</v>
      </c>
      <c r="I19" s="25">
        <f>'Risk Factors'!I19</f>
        <v>1.44E-2</v>
      </c>
      <c r="J19" s="25">
        <f>BMG!F19</f>
        <v>-4.0318000000000003E-3</v>
      </c>
      <c r="K19" s="25">
        <f>'Risk Factors'!J19</f>
        <v>0</v>
      </c>
      <c r="L19" s="102"/>
      <c r="M19" s="421">
        <v>40724</v>
      </c>
      <c r="N19" s="25">
        <f>'Risk Factors'!F19</f>
        <v>-1.52E-2</v>
      </c>
      <c r="O19" s="25">
        <f>'Risk Factors'!M19</f>
        <v>3.7000000000000002E-3</v>
      </c>
      <c r="P19" s="25">
        <f>'Risk Factors'!N19</f>
        <v>8.0000000000000004E-4</v>
      </c>
      <c r="Q19" s="25">
        <f>'Risk Factors'!O19</f>
        <v>-4.3800000000000002E-3</v>
      </c>
      <c r="R19" s="25">
        <f>'Risk Factors'!P19</f>
        <v>-7.8399999999999997E-3</v>
      </c>
      <c r="S19" s="25">
        <f>'Risk Factors'!R19</f>
        <v>-1.0240000000000001E-2</v>
      </c>
      <c r="T19" s="25">
        <f>'Risk Factors'!S19</f>
        <v>3.63E-3</v>
      </c>
      <c r="U19" s="25">
        <f>BMG!F19</f>
        <v>-4.0318000000000003E-3</v>
      </c>
      <c r="V19" s="25"/>
      <c r="W19" s="421">
        <v>40724</v>
      </c>
      <c r="X19" s="25">
        <f>'Risk Factors'!F19</f>
        <v>-1.52E-2</v>
      </c>
      <c r="Y19" s="25">
        <f>'Risk Factors'!G19</f>
        <v>-4.5999999999999999E-3</v>
      </c>
      <c r="Z19" s="25">
        <f>'Risk Factors'!H19</f>
        <v>5.7999999999999996E-3</v>
      </c>
      <c r="AA19" s="25">
        <f>'Risk Factors'!T19</f>
        <v>3.63E-3</v>
      </c>
      <c r="AB19" s="25">
        <f>'Risk Factors'!U19</f>
        <v>-1.1040000000000001E-2</v>
      </c>
      <c r="AC19" s="25">
        <f>BMG!F19</f>
        <v>-4.0318000000000003E-3</v>
      </c>
      <c r="AE19" s="6"/>
      <c r="AG19" s="6"/>
      <c r="AI19" s="6"/>
      <c r="AK19" s="6"/>
      <c r="AM19" s="6"/>
      <c r="AO19" s="6"/>
      <c r="AQ19" s="6"/>
      <c r="AS19" s="6"/>
      <c r="AU19" s="6"/>
      <c r="AW19" s="6"/>
      <c r="AY19" s="6"/>
      <c r="BA19" s="6"/>
      <c r="BC19" s="6"/>
      <c r="BE19" s="6"/>
      <c r="BG19" s="6"/>
      <c r="BI19" s="6"/>
      <c r="BK19" s="6"/>
      <c r="BM19" s="6"/>
      <c r="BO19" s="6"/>
      <c r="BQ19" s="6"/>
      <c r="BS19" s="6"/>
      <c r="BU19" s="6"/>
      <c r="BW19" s="6"/>
      <c r="BY19" s="6"/>
      <c r="CA19" s="6"/>
      <c r="CC19" s="6"/>
      <c r="CE19" s="6"/>
      <c r="CG19" s="6"/>
      <c r="CI19" s="6"/>
      <c r="CK19" s="6"/>
      <c r="CM19" s="6"/>
      <c r="CO19" s="6"/>
      <c r="CQ19" s="6"/>
      <c r="CS19" s="6"/>
      <c r="CU19" s="6"/>
      <c r="CW19" s="6"/>
      <c r="CY19" s="6"/>
      <c r="DA19" s="6"/>
      <c r="DC19" s="6"/>
      <c r="DE19" s="6"/>
      <c r="DG19" s="6"/>
      <c r="DI19" s="6"/>
      <c r="DK19" s="6"/>
      <c r="DM19" s="6"/>
      <c r="DO19" s="6"/>
      <c r="DQ19" s="6"/>
      <c r="DS19" s="6"/>
      <c r="DU19" s="6"/>
      <c r="DW19" s="6"/>
      <c r="DY19" s="6"/>
      <c r="EA19" s="6"/>
      <c r="EC19" s="6"/>
      <c r="EE19" s="6"/>
      <c r="EG19" s="6"/>
      <c r="EI19" s="6"/>
      <c r="EK19" s="6"/>
      <c r="EM19" s="6"/>
      <c r="EO19" s="6"/>
      <c r="EQ19" s="6"/>
      <c r="ES19" s="6"/>
      <c r="EU19" s="6"/>
      <c r="EW19" s="6"/>
      <c r="EY19" s="6"/>
      <c r="FA19" s="6"/>
      <c r="FC19" s="6"/>
      <c r="FE19" s="6"/>
      <c r="FG19" s="6"/>
      <c r="FI19" s="6"/>
      <c r="FK19" s="6"/>
      <c r="FM19" s="6"/>
      <c r="FO19" s="6"/>
      <c r="FQ19" s="6"/>
      <c r="FS19" s="6"/>
      <c r="FU19" s="6"/>
      <c r="FW19" s="6"/>
      <c r="FY19" s="6"/>
      <c r="GA19" s="6"/>
      <c r="GC19" s="6"/>
      <c r="GE19" s="6"/>
    </row>
    <row r="20" spans="5:187">
      <c r="E20" s="421">
        <v>40755</v>
      </c>
      <c r="F20" s="25">
        <f>'Risk Factors'!F20</f>
        <v>-1.7000000000000001E-2</v>
      </c>
      <c r="G20" s="25">
        <f>'Risk Factors'!G20</f>
        <v>1.18E-2</v>
      </c>
      <c r="H20" s="25">
        <f>'Risk Factors'!H20</f>
        <v>-2.1700000000000001E-2</v>
      </c>
      <c r="I20" s="25">
        <f>'Risk Factors'!I20</f>
        <v>1.95E-2</v>
      </c>
      <c r="J20" s="25">
        <f>BMG!F20</f>
        <v>2.90342E-2</v>
      </c>
      <c r="K20" s="25">
        <f>'Risk Factors'!J20</f>
        <v>0</v>
      </c>
      <c r="L20" s="102"/>
      <c r="M20" s="421">
        <v>40755</v>
      </c>
      <c r="N20" s="25">
        <f>'Risk Factors'!F20</f>
        <v>-1.7000000000000001E-2</v>
      </c>
      <c r="O20" s="25">
        <f>'Risk Factors'!M20</f>
        <v>6.2599999999999999E-3</v>
      </c>
      <c r="P20" s="25">
        <f>'Risk Factors'!N20</f>
        <v>1.4460000000000001E-2</v>
      </c>
      <c r="Q20" s="25">
        <f>'Risk Factors'!O20</f>
        <v>1.8859999999999998E-2</v>
      </c>
      <c r="R20" s="25">
        <f>'Risk Factors'!P20</f>
        <v>2.6939999999999999E-2</v>
      </c>
      <c r="S20" s="25">
        <f>'Risk Factors'!R20</f>
        <v>8.6899999999999998E-3</v>
      </c>
      <c r="T20" s="25">
        <f>'Risk Factors'!S20</f>
        <v>2.0310000000000002E-2</v>
      </c>
      <c r="U20" s="25">
        <f>BMG!F20</f>
        <v>2.90342E-2</v>
      </c>
      <c r="V20" s="25"/>
      <c r="W20" s="421">
        <v>40755</v>
      </c>
      <c r="X20" s="25">
        <f>'Risk Factors'!F20</f>
        <v>-1.7000000000000001E-2</v>
      </c>
      <c r="Y20" s="25">
        <f>'Risk Factors'!G20</f>
        <v>1.18E-2</v>
      </c>
      <c r="Z20" s="25">
        <f>'Risk Factors'!H20</f>
        <v>-2.1700000000000001E-2</v>
      </c>
      <c r="AA20" s="25">
        <f>'Risk Factors'!T20</f>
        <v>2.0310000000000002E-2</v>
      </c>
      <c r="AB20" s="25">
        <f>'Risk Factors'!U20</f>
        <v>-5.7700000000000008E-3</v>
      </c>
      <c r="AC20" s="25">
        <f>BMG!F20</f>
        <v>2.90342E-2</v>
      </c>
      <c r="AE20" s="6"/>
      <c r="AG20" s="6"/>
      <c r="AI20" s="6"/>
      <c r="AK20" s="6"/>
      <c r="AM20" s="6"/>
      <c r="AO20" s="6"/>
      <c r="AQ20" s="6"/>
      <c r="AS20" s="6"/>
      <c r="AU20" s="6"/>
      <c r="AW20" s="6"/>
      <c r="AY20" s="6"/>
      <c r="BA20" s="6"/>
      <c r="BC20" s="6"/>
      <c r="BE20" s="6"/>
      <c r="BG20" s="6"/>
      <c r="BI20" s="6"/>
      <c r="BK20" s="6"/>
      <c r="BM20" s="6"/>
      <c r="BO20" s="6"/>
      <c r="BQ20" s="6"/>
      <c r="BS20" s="6"/>
      <c r="BU20" s="6"/>
      <c r="BW20" s="6"/>
      <c r="BY20" s="6"/>
      <c r="CA20" s="6"/>
      <c r="CC20" s="6"/>
      <c r="CE20" s="6"/>
      <c r="CG20" s="6"/>
      <c r="CI20" s="6"/>
      <c r="CK20" s="6"/>
      <c r="CM20" s="6"/>
      <c r="CO20" s="6"/>
      <c r="CQ20" s="6"/>
      <c r="CS20" s="6"/>
      <c r="CU20" s="6"/>
      <c r="CW20" s="6"/>
      <c r="CY20" s="6"/>
      <c r="DA20" s="6"/>
      <c r="DC20" s="6"/>
      <c r="DE20" s="6"/>
      <c r="DG20" s="6"/>
      <c r="DI20" s="6"/>
      <c r="DK20" s="6"/>
      <c r="DM20" s="6"/>
      <c r="DO20" s="6"/>
      <c r="DQ20" s="6"/>
      <c r="DS20" s="6"/>
      <c r="DU20" s="6"/>
      <c r="DW20" s="6"/>
      <c r="DY20" s="6"/>
      <c r="EA20" s="6"/>
      <c r="EC20" s="6"/>
      <c r="EE20" s="6"/>
      <c r="EG20" s="6"/>
      <c r="EI20" s="6"/>
      <c r="EK20" s="6"/>
      <c r="EM20" s="6"/>
      <c r="EO20" s="6"/>
      <c r="EQ20" s="6"/>
      <c r="ES20" s="6"/>
      <c r="EU20" s="6"/>
      <c r="EW20" s="6"/>
      <c r="EY20" s="6"/>
      <c r="FA20" s="6"/>
      <c r="FC20" s="6"/>
      <c r="FE20" s="6"/>
      <c r="FG20" s="6"/>
      <c r="FI20" s="6"/>
      <c r="FK20" s="6"/>
      <c r="FM20" s="6"/>
      <c r="FO20" s="6"/>
      <c r="FQ20" s="6"/>
      <c r="FS20" s="6"/>
      <c r="FU20" s="6"/>
      <c r="FW20" s="6"/>
      <c r="FY20" s="6"/>
      <c r="GA20" s="6"/>
      <c r="GC20" s="6"/>
      <c r="GE20" s="6"/>
    </row>
    <row r="21" spans="5:187">
      <c r="E21" s="421">
        <v>40786</v>
      </c>
      <c r="F21" s="25">
        <f>'Risk Factors'!F21</f>
        <v>-7.51E-2</v>
      </c>
      <c r="G21" s="25">
        <f>'Risk Factors'!G21</f>
        <v>-6.6E-3</v>
      </c>
      <c r="H21" s="25">
        <f>'Risk Factors'!H21</f>
        <v>-1.78E-2</v>
      </c>
      <c r="I21" s="25">
        <f>'Risk Factors'!I21</f>
        <v>-9.1999999999999998E-3</v>
      </c>
      <c r="J21" s="25">
        <f>BMG!F21</f>
        <v>7.5288999999999998E-3</v>
      </c>
      <c r="K21" s="25">
        <f>'Risk Factors'!J21</f>
        <v>1E-4</v>
      </c>
      <c r="L21" s="102"/>
      <c r="M21" s="421">
        <v>40786</v>
      </c>
      <c r="N21" s="25">
        <f>'Risk Factors'!F21</f>
        <v>-7.51E-2</v>
      </c>
      <c r="O21" s="25">
        <f>'Risk Factors'!M21</f>
        <v>-3.0899999999999999E-3</v>
      </c>
      <c r="P21" s="25">
        <f>'Risk Factors'!N21</f>
        <v>-7.0099999999999997E-3</v>
      </c>
      <c r="Q21" s="25">
        <f>'Risk Factors'!O21</f>
        <v>-1.128E-2</v>
      </c>
      <c r="R21" s="25">
        <f>'Risk Factors'!P21</f>
        <v>-3.82E-3</v>
      </c>
      <c r="S21" s="25">
        <f>'Risk Factors'!R21</f>
        <v>-4.4139999999999999E-2</v>
      </c>
      <c r="T21" s="25">
        <f>'Risk Factors'!S21</f>
        <v>1.7170000000000001E-2</v>
      </c>
      <c r="U21" s="25">
        <f>BMG!F21</f>
        <v>7.5288999999999998E-3</v>
      </c>
      <c r="V21" s="25"/>
      <c r="W21" s="421">
        <v>40786</v>
      </c>
      <c r="X21" s="25">
        <f>'Risk Factors'!F21</f>
        <v>-7.51E-2</v>
      </c>
      <c r="Y21" s="25">
        <f>'Risk Factors'!G21</f>
        <v>-6.6E-3</v>
      </c>
      <c r="Z21" s="25">
        <f>'Risk Factors'!H21</f>
        <v>-1.78E-2</v>
      </c>
      <c r="AA21" s="25">
        <f>'Risk Factors'!T21</f>
        <v>1.7070000000000002E-2</v>
      </c>
      <c r="AB21" s="25">
        <f>'Risk Factors'!U21</f>
        <v>-3.7129999999999996E-2</v>
      </c>
      <c r="AC21" s="25">
        <f>BMG!F21</f>
        <v>7.5288999999999998E-3</v>
      </c>
      <c r="AE21" s="6"/>
      <c r="AG21" s="6"/>
      <c r="AI21" s="6"/>
      <c r="AK21" s="6"/>
      <c r="AM21" s="6"/>
      <c r="AO21" s="6"/>
      <c r="AQ21" s="6"/>
      <c r="AS21" s="6"/>
      <c r="AU21" s="6"/>
      <c r="AW21" s="6"/>
      <c r="AY21" s="6"/>
      <c r="BA21" s="6"/>
      <c r="BC21" s="6"/>
      <c r="BE21" s="6"/>
      <c r="BG21" s="6"/>
      <c r="BI21" s="6"/>
      <c r="BK21" s="6"/>
      <c r="BM21" s="6"/>
      <c r="BO21" s="6"/>
      <c r="BQ21" s="6"/>
      <c r="BS21" s="6"/>
      <c r="BU21" s="6"/>
      <c r="BW21" s="6"/>
      <c r="BY21" s="6"/>
      <c r="CA21" s="6"/>
      <c r="CC21" s="6"/>
      <c r="CE21" s="6"/>
      <c r="CG21" s="6"/>
      <c r="CI21" s="6"/>
      <c r="CK21" s="6"/>
      <c r="CM21" s="6"/>
      <c r="CO21" s="6"/>
      <c r="CQ21" s="6"/>
      <c r="CS21" s="6"/>
      <c r="CU21" s="6"/>
      <c r="CW21" s="6"/>
      <c r="CY21" s="6"/>
      <c r="DA21" s="6"/>
      <c r="DC21" s="6"/>
      <c r="DE21" s="6"/>
      <c r="DG21" s="6"/>
      <c r="DI21" s="6"/>
      <c r="DK21" s="6"/>
      <c r="DM21" s="6"/>
      <c r="DO21" s="6"/>
      <c r="DQ21" s="6"/>
      <c r="DS21" s="6"/>
      <c r="DU21" s="6"/>
      <c r="DW21" s="6"/>
      <c r="DY21" s="6"/>
      <c r="EA21" s="6"/>
      <c r="EC21" s="6"/>
      <c r="EE21" s="6"/>
      <c r="EG21" s="6"/>
      <c r="EI21" s="6"/>
      <c r="EK21" s="6"/>
      <c r="EM21" s="6"/>
      <c r="EO21" s="6"/>
      <c r="EQ21" s="6"/>
      <c r="ES21" s="6"/>
      <c r="EU21" s="6"/>
      <c r="EW21" s="6"/>
      <c r="EY21" s="6"/>
      <c r="FA21" s="6"/>
      <c r="FC21" s="6"/>
      <c r="FE21" s="6"/>
      <c r="FG21" s="6"/>
      <c r="FI21" s="6"/>
      <c r="FK21" s="6"/>
      <c r="FM21" s="6"/>
      <c r="FO21" s="6"/>
      <c r="FQ21" s="6"/>
      <c r="FS21" s="6"/>
      <c r="FU21" s="6"/>
      <c r="FW21" s="6"/>
      <c r="FY21" s="6"/>
      <c r="GA21" s="6"/>
      <c r="GC21" s="6"/>
      <c r="GE21" s="6"/>
    </row>
    <row r="22" spans="5:187">
      <c r="E22" s="421">
        <v>40816</v>
      </c>
      <c r="F22" s="25">
        <f>'Risk Factors'!F22</f>
        <v>-9.1899999999999996E-2</v>
      </c>
      <c r="G22" s="25">
        <f>'Risk Factors'!G22</f>
        <v>-1.34E-2</v>
      </c>
      <c r="H22" s="25">
        <f>'Risk Factors'!H22</f>
        <v>8.6E-3</v>
      </c>
      <c r="I22" s="25">
        <f>'Risk Factors'!I22</f>
        <v>-2.7199999999999998E-2</v>
      </c>
      <c r="J22" s="25">
        <f>BMG!F22</f>
        <v>-2.9084499999999999E-2</v>
      </c>
      <c r="K22" s="25">
        <f>'Risk Factors'!J22</f>
        <v>0</v>
      </c>
      <c r="L22" s="102"/>
      <c r="M22" s="421">
        <v>40816</v>
      </c>
      <c r="N22" s="25">
        <f>'Risk Factors'!F22</f>
        <v>-9.1899999999999996E-2</v>
      </c>
      <c r="O22" s="25">
        <f>'Risk Factors'!M22</f>
        <v>-3.959E-2</v>
      </c>
      <c r="P22" s="25">
        <f>'Risk Factors'!N22</f>
        <v>-4.1270000000000001E-2</v>
      </c>
      <c r="Q22" s="25">
        <f>'Risk Factors'!O22</f>
        <v>-4.48E-2</v>
      </c>
      <c r="R22" s="25">
        <f>'Risk Factors'!P22</f>
        <v>-3.0970000000000001E-2</v>
      </c>
      <c r="S22" s="25">
        <f>'Risk Factors'!R22</f>
        <v>-4.8189999999999997E-2</v>
      </c>
      <c r="T22" s="25">
        <f>'Risk Factors'!S22</f>
        <v>-2.452E-2</v>
      </c>
      <c r="U22" s="25">
        <f>BMG!F22</f>
        <v>-2.9084499999999999E-2</v>
      </c>
      <c r="V22" s="25"/>
      <c r="W22" s="421">
        <v>40816</v>
      </c>
      <c r="X22" s="25">
        <f>'Risk Factors'!F22</f>
        <v>-9.1899999999999996E-2</v>
      </c>
      <c r="Y22" s="25">
        <f>'Risk Factors'!G22</f>
        <v>-1.34E-2</v>
      </c>
      <c r="Z22" s="25">
        <f>'Risk Factors'!H22</f>
        <v>8.6E-3</v>
      </c>
      <c r="AA22" s="25">
        <f>'Risk Factors'!T22</f>
        <v>-2.452E-2</v>
      </c>
      <c r="AB22" s="25">
        <f>'Risk Factors'!U22</f>
        <v>-6.9199999999999956E-3</v>
      </c>
      <c r="AC22" s="25">
        <f>BMG!F22</f>
        <v>-2.9084499999999999E-2</v>
      </c>
      <c r="AE22" s="6"/>
      <c r="AG22" s="6"/>
      <c r="AI22" s="6"/>
      <c r="AK22" s="6"/>
      <c r="AM22" s="6"/>
      <c r="AO22" s="6"/>
      <c r="AQ22" s="6"/>
      <c r="AS22" s="6"/>
      <c r="AU22" s="6"/>
      <c r="AW22" s="6"/>
      <c r="AY22" s="6"/>
      <c r="BA22" s="6"/>
      <c r="BC22" s="6"/>
      <c r="BE22" s="6"/>
      <c r="BG22" s="6"/>
      <c r="BI22" s="6"/>
      <c r="BK22" s="6"/>
      <c r="BM22" s="6"/>
      <c r="BO22" s="6"/>
      <c r="BQ22" s="6"/>
      <c r="BS22" s="6"/>
      <c r="BU22" s="6"/>
      <c r="BW22" s="6"/>
      <c r="BY22" s="6"/>
      <c r="CA22" s="6"/>
      <c r="CC22" s="6"/>
      <c r="CE22" s="6"/>
      <c r="CG22" s="6"/>
      <c r="CI22" s="6"/>
      <c r="CK22" s="6"/>
      <c r="CM22" s="6"/>
      <c r="CO22" s="6"/>
      <c r="CQ22" s="6"/>
      <c r="CS22" s="6"/>
      <c r="CU22" s="6"/>
      <c r="CW22" s="6"/>
      <c r="CY22" s="6"/>
      <c r="DA22" s="6"/>
      <c r="DC22" s="6"/>
      <c r="DE22" s="6"/>
      <c r="DG22" s="6"/>
      <c r="DI22" s="6"/>
      <c r="DK22" s="6"/>
      <c r="DM22" s="6"/>
      <c r="DO22" s="6"/>
      <c r="DQ22" s="6"/>
      <c r="DS22" s="6"/>
      <c r="DU22" s="6"/>
      <c r="DW22" s="6"/>
      <c r="DY22" s="6"/>
      <c r="EA22" s="6"/>
      <c r="EC22" s="6"/>
      <c r="EE22" s="6"/>
      <c r="EG22" s="6"/>
      <c r="EI22" s="6"/>
      <c r="EK22" s="6"/>
      <c r="EM22" s="6"/>
      <c r="EO22" s="6"/>
      <c r="EQ22" s="6"/>
      <c r="ES22" s="6"/>
      <c r="EU22" s="6"/>
      <c r="EW22" s="6"/>
      <c r="EY22" s="6"/>
      <c r="FA22" s="6"/>
      <c r="FC22" s="6"/>
      <c r="FE22" s="6"/>
      <c r="FG22" s="6"/>
      <c r="FI22" s="6"/>
      <c r="FK22" s="6"/>
      <c r="FM22" s="6"/>
      <c r="FO22" s="6"/>
      <c r="FQ22" s="6"/>
      <c r="FS22" s="6"/>
      <c r="FU22" s="6"/>
      <c r="FW22" s="6"/>
      <c r="FY22" s="6"/>
      <c r="GA22" s="6"/>
      <c r="GC22" s="6"/>
      <c r="GE22" s="6"/>
    </row>
    <row r="23" spans="5:187">
      <c r="E23" s="421">
        <v>40847</v>
      </c>
      <c r="F23" s="25">
        <f>'Risk Factors'!F23</f>
        <v>0.1002</v>
      </c>
      <c r="G23" s="25">
        <f>'Risk Factors'!G23</f>
        <v>-1.9699999999999999E-2</v>
      </c>
      <c r="H23" s="25">
        <f>'Risk Factors'!H23</f>
        <v>-1.9199999999999998E-2</v>
      </c>
      <c r="I23" s="25">
        <f>'Risk Factors'!I23</f>
        <v>-1.2800000000000001E-2</v>
      </c>
      <c r="J23" s="25">
        <f>BMG!F23</f>
        <v>3.7878700000000001E-2</v>
      </c>
      <c r="K23" s="25">
        <f>'Risk Factors'!J23</f>
        <v>0</v>
      </c>
      <c r="L23" s="102"/>
      <c r="M23" s="421">
        <v>40847</v>
      </c>
      <c r="N23" s="25">
        <f>'Risk Factors'!F23</f>
        <v>0.1002</v>
      </c>
      <c r="O23" s="25">
        <f>'Risk Factors'!M23</f>
        <v>2.734E-2</v>
      </c>
      <c r="P23" s="25">
        <f>'Risk Factors'!N23</f>
        <v>3.1300000000000001E-2</v>
      </c>
      <c r="Q23" s="25">
        <f>'Risk Factors'!O23</f>
        <v>3.7339999999999998E-2</v>
      </c>
      <c r="R23" s="25">
        <f>'Risk Factors'!P23</f>
        <v>3.1890000000000002E-2</v>
      </c>
      <c r="S23" s="25">
        <f>'Risk Factors'!R23</f>
        <v>6.7750000000000005E-2</v>
      </c>
      <c r="T23" s="25">
        <f>'Risk Factors'!S23</f>
        <v>7.4700000000000001E-3</v>
      </c>
      <c r="U23" s="25">
        <f>BMG!F23</f>
        <v>3.7878700000000001E-2</v>
      </c>
      <c r="V23" s="25"/>
      <c r="W23" s="421">
        <v>40847</v>
      </c>
      <c r="X23" s="25">
        <f>'Risk Factors'!F23</f>
        <v>0.1002</v>
      </c>
      <c r="Y23" s="25">
        <f>'Risk Factors'!G23</f>
        <v>-1.9699999999999999E-2</v>
      </c>
      <c r="Z23" s="25">
        <f>'Risk Factors'!H23</f>
        <v>-1.9199999999999998E-2</v>
      </c>
      <c r="AA23" s="25">
        <f>'Risk Factors'!T23</f>
        <v>7.4700000000000001E-3</v>
      </c>
      <c r="AB23" s="25">
        <f>'Risk Factors'!U23</f>
        <v>3.6450000000000003E-2</v>
      </c>
      <c r="AC23" s="25">
        <f>BMG!F23</f>
        <v>3.7878700000000001E-2</v>
      </c>
      <c r="AE23" s="6"/>
      <c r="AG23" s="6"/>
      <c r="AI23" s="6"/>
      <c r="AK23" s="6"/>
      <c r="AM23" s="6"/>
      <c r="AO23" s="6"/>
      <c r="AQ23" s="6"/>
      <c r="AS23" s="6"/>
      <c r="AU23" s="6"/>
      <c r="AW23" s="6"/>
      <c r="AY23" s="6"/>
      <c r="BA23" s="6"/>
      <c r="BC23" s="6"/>
      <c r="BE23" s="6"/>
      <c r="BG23" s="6"/>
      <c r="BI23" s="6"/>
      <c r="BK23" s="6"/>
      <c r="BM23" s="6"/>
      <c r="BO23" s="6"/>
      <c r="BQ23" s="6"/>
      <c r="BS23" s="6"/>
      <c r="BU23" s="6"/>
      <c r="BW23" s="6"/>
      <c r="BY23" s="6"/>
      <c r="CA23" s="6"/>
      <c r="CC23" s="6"/>
      <c r="CE23" s="6"/>
      <c r="CG23" s="6"/>
      <c r="CI23" s="6"/>
      <c r="CK23" s="6"/>
      <c r="CM23" s="6"/>
      <c r="CO23" s="6"/>
      <c r="CQ23" s="6"/>
      <c r="CS23" s="6"/>
      <c r="CU23" s="6"/>
      <c r="CW23" s="6"/>
      <c r="CY23" s="6"/>
      <c r="DA23" s="6"/>
      <c r="DC23" s="6"/>
      <c r="DE23" s="6"/>
      <c r="DG23" s="6"/>
      <c r="DI23" s="6"/>
      <c r="DK23" s="6"/>
      <c r="DM23" s="6"/>
      <c r="DO23" s="6"/>
      <c r="DQ23" s="6"/>
      <c r="DS23" s="6"/>
      <c r="DU23" s="6"/>
      <c r="DW23" s="6"/>
      <c r="DY23" s="6"/>
      <c r="EA23" s="6"/>
      <c r="EC23" s="6"/>
      <c r="EE23" s="6"/>
      <c r="EG23" s="6"/>
      <c r="EI23" s="6"/>
      <c r="EK23" s="6"/>
      <c r="EM23" s="6"/>
      <c r="EO23" s="6"/>
      <c r="EQ23" s="6"/>
      <c r="ES23" s="6"/>
      <c r="EU23" s="6"/>
      <c r="EW23" s="6"/>
      <c r="EY23" s="6"/>
      <c r="FA23" s="6"/>
      <c r="FC23" s="6"/>
      <c r="FE23" s="6"/>
      <c r="FG23" s="6"/>
      <c r="FI23" s="6"/>
      <c r="FK23" s="6"/>
      <c r="FM23" s="6"/>
      <c r="FO23" s="6"/>
      <c r="FQ23" s="6"/>
      <c r="FS23" s="6"/>
      <c r="FU23" s="6"/>
      <c r="FW23" s="6"/>
      <c r="FY23" s="6"/>
      <c r="GA23" s="6"/>
      <c r="GC23" s="6"/>
      <c r="GE23" s="6"/>
    </row>
    <row r="24" spans="5:187">
      <c r="E24" s="421">
        <v>40877</v>
      </c>
      <c r="F24" s="25">
        <f>'Risk Factors'!F24</f>
        <v>-2.63E-2</v>
      </c>
      <c r="G24" s="25">
        <f>'Risk Factors'!G24</f>
        <v>-1.12E-2</v>
      </c>
      <c r="H24" s="25">
        <f>'Risk Factors'!H24</f>
        <v>-7.1999999999999998E-3</v>
      </c>
      <c r="I24" s="25">
        <f>'Risk Factors'!I24</f>
        <v>4.3499999999999997E-2</v>
      </c>
      <c r="J24" s="25">
        <f>BMG!F24</f>
        <v>6.2649000000000003E-3</v>
      </c>
      <c r="K24" s="25">
        <f>'Risk Factors'!J24</f>
        <v>0</v>
      </c>
      <c r="L24" s="102"/>
      <c r="M24" s="421">
        <v>40877</v>
      </c>
      <c r="N24" s="25">
        <f>'Risk Factors'!F24</f>
        <v>-2.63E-2</v>
      </c>
      <c r="O24" s="25">
        <f>'Risk Factors'!M24</f>
        <v>-2.3029999999999998E-2</v>
      </c>
      <c r="P24" s="25">
        <f>'Risk Factors'!N24</f>
        <v>-2.8039999999999999E-2</v>
      </c>
      <c r="Q24" s="25">
        <f>'Risk Factors'!O24</f>
        <v>-3.6790000000000003E-2</v>
      </c>
      <c r="R24" s="25">
        <f>'Risk Factors'!P24</f>
        <v>-3.6990000000000002E-2</v>
      </c>
      <c r="S24" s="25">
        <f>'Risk Factors'!R24</f>
        <v>-3.2599999999999997E-2</v>
      </c>
      <c r="T24" s="25">
        <f>'Risk Factors'!S24</f>
        <v>-1.3520000000000001E-2</v>
      </c>
      <c r="U24" s="25">
        <f>BMG!F24</f>
        <v>6.2649000000000003E-3</v>
      </c>
      <c r="V24" s="25"/>
      <c r="W24" s="421">
        <v>40877</v>
      </c>
      <c r="X24" s="25">
        <f>'Risk Factors'!F24</f>
        <v>-2.63E-2</v>
      </c>
      <c r="Y24" s="25">
        <f>'Risk Factors'!G24</f>
        <v>-1.12E-2</v>
      </c>
      <c r="Z24" s="25">
        <f>'Risk Factors'!H24</f>
        <v>-7.1999999999999998E-3</v>
      </c>
      <c r="AA24" s="25">
        <f>'Risk Factors'!T24</f>
        <v>-1.3520000000000001E-2</v>
      </c>
      <c r="AB24" s="25">
        <f>'Risk Factors'!U24</f>
        <v>-4.5599999999999981E-3</v>
      </c>
      <c r="AC24" s="25">
        <f>BMG!F24</f>
        <v>6.2649000000000003E-3</v>
      </c>
      <c r="AE24" s="6"/>
      <c r="AG24" s="6"/>
      <c r="AI24" s="6"/>
      <c r="AK24" s="6"/>
      <c r="AM24" s="6"/>
      <c r="AO24" s="6"/>
      <c r="AQ24" s="6"/>
      <c r="AS24" s="6"/>
      <c r="AU24" s="6"/>
      <c r="AW24" s="6"/>
      <c r="AY24" s="6"/>
      <c r="BA24" s="6"/>
      <c r="BC24" s="6"/>
      <c r="BE24" s="6"/>
      <c r="BG24" s="6"/>
      <c r="BI24" s="6"/>
      <c r="BK24" s="6"/>
      <c r="BM24" s="6"/>
      <c r="BO24" s="6"/>
      <c r="BQ24" s="6"/>
      <c r="BS24" s="6"/>
      <c r="BU24" s="6"/>
      <c r="BW24" s="6"/>
      <c r="BY24" s="6"/>
      <c r="CA24" s="6"/>
      <c r="CC24" s="6"/>
      <c r="CE24" s="6"/>
      <c r="CG24" s="6"/>
      <c r="CI24" s="6"/>
      <c r="CK24" s="6"/>
      <c r="CM24" s="6"/>
      <c r="CO24" s="6"/>
      <c r="CQ24" s="6"/>
      <c r="CS24" s="6"/>
      <c r="CU24" s="6"/>
      <c r="CW24" s="6"/>
      <c r="CY24" s="6"/>
      <c r="DA24" s="6"/>
      <c r="DC24" s="6"/>
      <c r="DE24" s="6"/>
      <c r="DG24" s="6"/>
      <c r="DI24" s="6"/>
      <c r="DK24" s="6"/>
      <c r="DM24" s="6"/>
      <c r="DO24" s="6"/>
      <c r="DQ24" s="6"/>
      <c r="DS24" s="6"/>
      <c r="DU24" s="6"/>
      <c r="DW24" s="6"/>
      <c r="DY24" s="6"/>
      <c r="EA24" s="6"/>
      <c r="EC24" s="6"/>
      <c r="EE24" s="6"/>
      <c r="EG24" s="6"/>
      <c r="EI24" s="6"/>
      <c r="EK24" s="6"/>
      <c r="EM24" s="6"/>
      <c r="EO24" s="6"/>
      <c r="EQ24" s="6"/>
      <c r="ES24" s="6"/>
      <c r="EU24" s="6"/>
      <c r="EW24" s="6"/>
      <c r="EY24" s="6"/>
      <c r="FA24" s="6"/>
      <c r="FC24" s="6"/>
      <c r="FE24" s="6"/>
      <c r="FG24" s="6"/>
      <c r="FI24" s="6"/>
      <c r="FK24" s="6"/>
      <c r="FM24" s="6"/>
      <c r="FO24" s="6"/>
      <c r="FQ24" s="6"/>
      <c r="FS24" s="6"/>
      <c r="FU24" s="6"/>
      <c r="FW24" s="6"/>
      <c r="FY24" s="6"/>
      <c r="GA24" s="6"/>
      <c r="GC24" s="6"/>
      <c r="GE24" s="6"/>
    </row>
    <row r="25" spans="5:187">
      <c r="E25" s="421">
        <v>40908</v>
      </c>
      <c r="F25" s="25">
        <f>'Risk Factors'!F25</f>
        <v>-4.4999999999999997E-3</v>
      </c>
      <c r="G25" s="25">
        <f>'Risk Factors'!G25</f>
        <v>-4.8999999999999998E-3</v>
      </c>
      <c r="H25" s="25">
        <f>'Risk Factors'!H25</f>
        <v>1.9400000000000001E-2</v>
      </c>
      <c r="I25" s="25">
        <f>'Risk Factors'!I25</f>
        <v>2.01E-2</v>
      </c>
      <c r="J25" s="25">
        <f>BMG!F25</f>
        <v>9.3559999999999997E-4</v>
      </c>
      <c r="K25" s="25">
        <f>'Risk Factors'!J25</f>
        <v>0</v>
      </c>
      <c r="L25" s="102"/>
      <c r="M25" s="421">
        <v>40908</v>
      </c>
      <c r="N25" s="25">
        <f>'Risk Factors'!F25</f>
        <v>-4.4999999999999997E-3</v>
      </c>
      <c r="O25" s="25">
        <f>'Risk Factors'!M25</f>
        <v>-8.3800000000000003E-3</v>
      </c>
      <c r="P25" s="25">
        <f>'Risk Factors'!N25</f>
        <v>8.1999999999999998E-4</v>
      </c>
      <c r="Q25" s="25">
        <f>'Risk Factors'!O25</f>
        <v>8.3300000000000006E-3</v>
      </c>
      <c r="R25" s="25">
        <f>'Risk Factors'!P25</f>
        <v>1.8790000000000001E-2</v>
      </c>
      <c r="S25" s="25">
        <f>'Risk Factors'!R25</f>
        <v>1.9740000000000001E-2</v>
      </c>
      <c r="T25" s="25">
        <f>'Risk Factors'!S25</f>
        <v>4.5199999999999997E-3</v>
      </c>
      <c r="U25" s="25">
        <f>BMG!F25</f>
        <v>9.3559999999999997E-4</v>
      </c>
      <c r="V25" s="25"/>
      <c r="W25" s="421">
        <v>40908</v>
      </c>
      <c r="X25" s="25">
        <f>'Risk Factors'!F25</f>
        <v>-4.4999999999999997E-3</v>
      </c>
      <c r="Y25" s="25">
        <f>'Risk Factors'!G25</f>
        <v>-4.8999999999999998E-3</v>
      </c>
      <c r="Z25" s="25">
        <f>'Risk Factors'!H25</f>
        <v>1.9400000000000001E-2</v>
      </c>
      <c r="AA25" s="25">
        <f>'Risk Factors'!T25</f>
        <v>4.5199999999999997E-3</v>
      </c>
      <c r="AB25" s="25">
        <f>'Risk Factors'!U25</f>
        <v>1.8919999999999999E-2</v>
      </c>
      <c r="AC25" s="25">
        <f>BMG!F25</f>
        <v>9.3559999999999997E-4</v>
      </c>
      <c r="AE25" s="6"/>
      <c r="AG25" s="6"/>
      <c r="AI25" s="6"/>
      <c r="AK25" s="6"/>
      <c r="AM25" s="6"/>
      <c r="AO25" s="6"/>
      <c r="AQ25" s="6"/>
      <c r="AS25" s="6"/>
      <c r="AU25" s="6"/>
      <c r="AW25" s="6"/>
      <c r="AY25" s="6"/>
      <c r="BA25" s="6"/>
      <c r="BC25" s="6"/>
      <c r="BE25" s="6"/>
      <c r="BG25" s="6"/>
      <c r="BI25" s="6"/>
      <c r="BK25" s="6"/>
      <c r="BM25" s="6"/>
      <c r="BO25" s="6"/>
      <c r="BQ25" s="6"/>
      <c r="BS25" s="6"/>
      <c r="BU25" s="6"/>
      <c r="BW25" s="6"/>
      <c r="BY25" s="6"/>
      <c r="CA25" s="6"/>
      <c r="CC25" s="6"/>
      <c r="CE25" s="6"/>
      <c r="CG25" s="6"/>
      <c r="CI25" s="6"/>
      <c r="CK25" s="6"/>
      <c r="CM25" s="6"/>
      <c r="CO25" s="6"/>
      <c r="CQ25" s="6"/>
      <c r="CS25" s="6"/>
      <c r="CU25" s="6"/>
      <c r="CW25" s="6"/>
      <c r="CY25" s="6"/>
      <c r="DA25" s="6"/>
      <c r="DC25" s="6"/>
      <c r="DE25" s="6"/>
      <c r="DG25" s="6"/>
      <c r="DI25" s="6"/>
      <c r="DK25" s="6"/>
      <c r="DM25" s="6"/>
      <c r="DO25" s="6"/>
      <c r="DQ25" s="6"/>
      <c r="DS25" s="6"/>
      <c r="DU25" s="6"/>
      <c r="DW25" s="6"/>
      <c r="DY25" s="6"/>
      <c r="EA25" s="6"/>
      <c r="EC25" s="6"/>
      <c r="EE25" s="6"/>
      <c r="EG25" s="6"/>
      <c r="EI25" s="6"/>
      <c r="EK25" s="6"/>
      <c r="EM25" s="6"/>
      <c r="EO25" s="6"/>
      <c r="EQ25" s="6"/>
      <c r="ES25" s="6"/>
      <c r="EU25" s="6"/>
      <c r="EW25" s="6"/>
      <c r="EY25" s="6"/>
      <c r="FA25" s="6"/>
      <c r="FC25" s="6"/>
      <c r="FE25" s="6"/>
      <c r="FG25" s="6"/>
      <c r="FI25" s="6"/>
      <c r="FK25" s="6"/>
      <c r="FM25" s="6"/>
      <c r="FO25" s="6"/>
      <c r="FQ25" s="6"/>
      <c r="FS25" s="6"/>
      <c r="FU25" s="6"/>
      <c r="FW25" s="6"/>
      <c r="FY25" s="6"/>
      <c r="GA25" s="6"/>
      <c r="GC25" s="6"/>
      <c r="GE25" s="6"/>
    </row>
    <row r="26" spans="5:187">
      <c r="E26" s="421">
        <v>40939</v>
      </c>
      <c r="F26" s="25">
        <f>'Risk Factors'!F26</f>
        <v>5.6000000000000001E-2</v>
      </c>
      <c r="G26" s="25">
        <f>'Risk Factors'!G26</f>
        <v>2.1299999999999999E-2</v>
      </c>
      <c r="H26" s="25">
        <f>'Risk Factors'!H26</f>
        <v>-1.09E-2</v>
      </c>
      <c r="I26" s="25">
        <f>'Risk Factors'!I26</f>
        <v>-6.7799999999999999E-2</v>
      </c>
      <c r="J26" s="25">
        <f>BMG!F26</f>
        <v>1.39825E-2</v>
      </c>
      <c r="K26" s="25">
        <f>'Risk Factors'!J26</f>
        <v>0</v>
      </c>
      <c r="L26" s="102"/>
      <c r="M26" s="421">
        <v>40939</v>
      </c>
      <c r="N26" s="25">
        <f>'Risk Factors'!F26</f>
        <v>5.6000000000000001E-2</v>
      </c>
      <c r="O26" s="25">
        <f>'Risk Factors'!M26</f>
        <v>1.8069999999999999E-2</v>
      </c>
      <c r="P26" s="25">
        <f>'Risk Factors'!N26</f>
        <v>2.58E-2</v>
      </c>
      <c r="Q26" s="25">
        <f>'Risk Factors'!O26</f>
        <v>3.397E-2</v>
      </c>
      <c r="R26" s="25">
        <f>'Risk Factors'!P26</f>
        <v>3.1269999999999999E-2</v>
      </c>
      <c r="S26" s="25">
        <f>'Risk Factors'!R26</f>
        <v>3.8719999999999997E-2</v>
      </c>
      <c r="T26" s="25">
        <f>'Risk Factors'!S26</f>
        <v>1.4250000000000001E-2</v>
      </c>
      <c r="U26" s="25">
        <f>BMG!F26</f>
        <v>1.39825E-2</v>
      </c>
      <c r="V26" s="25"/>
      <c r="W26" s="421">
        <v>40939</v>
      </c>
      <c r="X26" s="25">
        <f>'Risk Factors'!F26</f>
        <v>5.6000000000000001E-2</v>
      </c>
      <c r="Y26" s="25">
        <f>'Risk Factors'!G26</f>
        <v>2.1299999999999999E-2</v>
      </c>
      <c r="Z26" s="25">
        <f>'Risk Factors'!H26</f>
        <v>-1.09E-2</v>
      </c>
      <c r="AA26" s="25">
        <f>'Risk Factors'!T26</f>
        <v>1.4250000000000001E-2</v>
      </c>
      <c r="AB26" s="25">
        <f>'Risk Factors'!U26</f>
        <v>1.2919999999999997E-2</v>
      </c>
      <c r="AC26" s="25">
        <f>BMG!F26</f>
        <v>1.39825E-2</v>
      </c>
      <c r="AE26" s="6"/>
      <c r="AG26" s="6"/>
      <c r="AI26" s="6"/>
      <c r="AK26" s="6"/>
      <c r="AM26" s="6"/>
      <c r="AO26" s="6"/>
      <c r="AQ26" s="6"/>
      <c r="AS26" s="6"/>
      <c r="AU26" s="6"/>
      <c r="AW26" s="6"/>
      <c r="AY26" s="6"/>
      <c r="BA26" s="6"/>
      <c r="BC26" s="6"/>
      <c r="BE26" s="6"/>
      <c r="BG26" s="6"/>
      <c r="BI26" s="6"/>
      <c r="BK26" s="6"/>
      <c r="BM26" s="6"/>
      <c r="BO26" s="6"/>
      <c r="BQ26" s="6"/>
      <c r="BS26" s="6"/>
      <c r="BU26" s="6"/>
      <c r="BW26" s="6"/>
      <c r="BY26" s="6"/>
      <c r="CA26" s="6"/>
      <c r="CC26" s="6"/>
      <c r="CE26" s="6"/>
      <c r="CG26" s="6"/>
      <c r="CI26" s="6"/>
      <c r="CK26" s="6"/>
      <c r="CM26" s="6"/>
      <c r="CO26" s="6"/>
      <c r="CQ26" s="6"/>
      <c r="CS26" s="6"/>
      <c r="CU26" s="6"/>
      <c r="CW26" s="6"/>
      <c r="CY26" s="6"/>
      <c r="DA26" s="6"/>
      <c r="DC26" s="6"/>
      <c r="DE26" s="6"/>
      <c r="DG26" s="6"/>
      <c r="DI26" s="6"/>
      <c r="DK26" s="6"/>
      <c r="DM26" s="6"/>
      <c r="DO26" s="6"/>
      <c r="DQ26" s="6"/>
      <c r="DS26" s="6"/>
      <c r="DU26" s="6"/>
      <c r="DW26" s="6"/>
      <c r="DY26" s="6"/>
      <c r="EA26" s="6"/>
      <c r="EC26" s="6"/>
      <c r="EE26" s="6"/>
      <c r="EG26" s="6"/>
      <c r="EI26" s="6"/>
      <c r="EK26" s="6"/>
      <c r="EM26" s="6"/>
      <c r="EO26" s="6"/>
      <c r="EQ26" s="6"/>
      <c r="ES26" s="6"/>
      <c r="EU26" s="6"/>
      <c r="EW26" s="6"/>
      <c r="EY26" s="6"/>
      <c r="FA26" s="6"/>
      <c r="FC26" s="6"/>
      <c r="FE26" s="6"/>
      <c r="FG26" s="6"/>
      <c r="FI26" s="6"/>
      <c r="FK26" s="6"/>
      <c r="FM26" s="6"/>
      <c r="FO26" s="6"/>
      <c r="FQ26" s="6"/>
      <c r="FS26" s="6"/>
      <c r="FU26" s="6"/>
      <c r="FW26" s="6"/>
      <c r="FY26" s="6"/>
      <c r="GA26" s="6"/>
      <c r="GC26" s="6"/>
      <c r="GE26" s="6"/>
    </row>
    <row r="27" spans="5:187">
      <c r="E27" s="421">
        <v>40968</v>
      </c>
      <c r="F27" s="25">
        <f>'Risk Factors'!F27</f>
        <v>4.9299999999999997E-2</v>
      </c>
      <c r="G27" s="25">
        <f>'Risk Factors'!G27</f>
        <v>-8.5000000000000006E-3</v>
      </c>
      <c r="H27" s="25">
        <f>'Risk Factors'!H27</f>
        <v>-2.0999999999999999E-3</v>
      </c>
      <c r="I27" s="25">
        <f>'Risk Factors'!I27</f>
        <v>-2.5899999999999999E-2</v>
      </c>
      <c r="J27" s="25">
        <f>BMG!F27</f>
        <v>-8.9946999999999996E-3</v>
      </c>
      <c r="K27" s="25">
        <f>'Risk Factors'!J27</f>
        <v>0</v>
      </c>
      <c r="L27" s="102"/>
      <c r="M27" s="421">
        <v>40968</v>
      </c>
      <c r="N27" s="25">
        <f>'Risk Factors'!F27</f>
        <v>4.9299999999999997E-2</v>
      </c>
      <c r="O27" s="25">
        <f>'Risk Factors'!M27</f>
        <v>1.1339999999999999E-2</v>
      </c>
      <c r="P27" s="25">
        <f>'Risk Factors'!N27</f>
        <v>1.5469999999999999E-2</v>
      </c>
      <c r="Q27" s="25">
        <f>'Risk Factors'!O27</f>
        <v>1.966E-2</v>
      </c>
      <c r="R27" s="25">
        <f>'Risk Factors'!P27</f>
        <v>1.8350000000000002E-2</v>
      </c>
      <c r="S27" s="25">
        <f>'Risk Factors'!R27</f>
        <v>3.2800000000000003E-2</v>
      </c>
      <c r="T27" s="25">
        <f>'Risk Factors'!S27</f>
        <v>-8.7100000000000007E-3</v>
      </c>
      <c r="U27" s="25">
        <f>BMG!F27</f>
        <v>-8.9946999999999996E-3</v>
      </c>
      <c r="V27" s="25"/>
      <c r="W27" s="421">
        <v>40968</v>
      </c>
      <c r="X27" s="25">
        <f>'Risk Factors'!F27</f>
        <v>4.9299999999999997E-2</v>
      </c>
      <c r="Y27" s="25">
        <f>'Risk Factors'!G27</f>
        <v>-8.5000000000000006E-3</v>
      </c>
      <c r="Z27" s="25">
        <f>'Risk Factors'!H27</f>
        <v>-2.0999999999999999E-3</v>
      </c>
      <c r="AA27" s="25">
        <f>'Risk Factors'!T27</f>
        <v>-8.7100000000000007E-3</v>
      </c>
      <c r="AB27" s="25">
        <f>'Risk Factors'!U27</f>
        <v>1.7330000000000005E-2</v>
      </c>
      <c r="AC27" s="25">
        <f>BMG!F27</f>
        <v>-8.9946999999999996E-3</v>
      </c>
      <c r="AE27" s="6"/>
      <c r="AG27" s="6"/>
      <c r="AI27" s="6"/>
      <c r="AK27" s="6"/>
      <c r="AM27" s="6"/>
      <c r="AO27" s="6"/>
      <c r="AQ27" s="6"/>
      <c r="AS27" s="6"/>
      <c r="AU27" s="6"/>
      <c r="AW27" s="6"/>
      <c r="AY27" s="6"/>
      <c r="BA27" s="6"/>
      <c r="BC27" s="6"/>
      <c r="BE27" s="6"/>
      <c r="BG27" s="6"/>
      <c r="BI27" s="6"/>
      <c r="BK27" s="6"/>
      <c r="BM27" s="6"/>
      <c r="BO27" s="6"/>
      <c r="BQ27" s="6"/>
      <c r="BS27" s="6"/>
      <c r="BU27" s="6"/>
      <c r="BW27" s="6"/>
      <c r="BY27" s="6"/>
      <c r="CA27" s="6"/>
      <c r="CC27" s="6"/>
      <c r="CE27" s="6"/>
      <c r="CG27" s="6"/>
      <c r="CI27" s="6"/>
      <c r="CK27" s="6"/>
      <c r="CM27" s="6"/>
      <c r="CO27" s="6"/>
      <c r="CQ27" s="6"/>
      <c r="CS27" s="6"/>
      <c r="CU27" s="6"/>
      <c r="CW27" s="6"/>
      <c r="CY27" s="6"/>
      <c r="DA27" s="6"/>
      <c r="DC27" s="6"/>
      <c r="DE27" s="6"/>
      <c r="DG27" s="6"/>
      <c r="DI27" s="6"/>
      <c r="DK27" s="6"/>
      <c r="DM27" s="6"/>
      <c r="DO27" s="6"/>
      <c r="DQ27" s="6"/>
      <c r="DS27" s="6"/>
      <c r="DU27" s="6"/>
      <c r="DW27" s="6"/>
      <c r="DY27" s="6"/>
      <c r="EA27" s="6"/>
      <c r="EC27" s="6"/>
      <c r="EE27" s="6"/>
      <c r="EG27" s="6"/>
      <c r="EI27" s="6"/>
      <c r="EK27" s="6"/>
      <c r="EM27" s="6"/>
      <c r="EO27" s="6"/>
      <c r="EQ27" s="6"/>
      <c r="ES27" s="6"/>
      <c r="EU27" s="6"/>
      <c r="EW27" s="6"/>
      <c r="EY27" s="6"/>
      <c r="FA27" s="6"/>
      <c r="FC27" s="6"/>
      <c r="FE27" s="6"/>
      <c r="FG27" s="6"/>
      <c r="FI27" s="6"/>
      <c r="FK27" s="6"/>
      <c r="FM27" s="6"/>
      <c r="FO27" s="6"/>
      <c r="FQ27" s="6"/>
      <c r="FS27" s="6"/>
      <c r="FU27" s="6"/>
      <c r="FW27" s="6"/>
      <c r="FY27" s="6"/>
      <c r="GA27" s="6"/>
      <c r="GC27" s="6"/>
      <c r="GE27" s="6"/>
    </row>
    <row r="28" spans="5:187">
      <c r="E28" s="421">
        <v>40999</v>
      </c>
      <c r="F28" s="25">
        <f>'Risk Factors'!F28</f>
        <v>1.23E-2</v>
      </c>
      <c r="G28" s="25">
        <f>'Risk Factors'!G28</f>
        <v>-3.7000000000000002E-3</v>
      </c>
      <c r="H28" s="25">
        <f>'Risk Factors'!H28</f>
        <v>-2.9999999999999997E-4</v>
      </c>
      <c r="I28" s="25">
        <f>'Risk Factors'!I28</f>
        <v>3.5200000000000002E-2</v>
      </c>
      <c r="J28" s="25">
        <f>BMG!F28</f>
        <v>-4.70316E-2</v>
      </c>
      <c r="K28" s="25">
        <f>'Risk Factors'!J28</f>
        <v>0</v>
      </c>
      <c r="L28" s="102"/>
      <c r="M28" s="421">
        <v>40999</v>
      </c>
      <c r="N28" s="25">
        <f>'Risk Factors'!F28</f>
        <v>1.23E-2</v>
      </c>
      <c r="O28" s="25">
        <f>'Risk Factors'!M28</f>
        <v>-6.4000000000000005E-4</v>
      </c>
      <c r="P28" s="25">
        <f>'Risk Factors'!N28</f>
        <v>7.5000000000000002E-4</v>
      </c>
      <c r="Q28" s="25">
        <f>'Risk Factors'!O28</f>
        <v>3.2499999999999999E-3</v>
      </c>
      <c r="R28" s="25">
        <f>'Risk Factors'!P28</f>
        <v>-2.3600000000000001E-3</v>
      </c>
      <c r="S28" s="25">
        <f>'Risk Factors'!R28</f>
        <v>1.1999999999999999E-3</v>
      </c>
      <c r="T28" s="25">
        <f>'Risk Factors'!S28</f>
        <v>-8.9300000000000004E-3</v>
      </c>
      <c r="U28" s="25">
        <f>BMG!F28</f>
        <v>-4.70316E-2</v>
      </c>
      <c r="V28" s="25"/>
      <c r="W28" s="421">
        <v>40999</v>
      </c>
      <c r="X28" s="25">
        <f>'Risk Factors'!F28</f>
        <v>1.23E-2</v>
      </c>
      <c r="Y28" s="25">
        <f>'Risk Factors'!G28</f>
        <v>-3.7000000000000002E-3</v>
      </c>
      <c r="Z28" s="25">
        <f>'Risk Factors'!H28</f>
        <v>-2.9999999999999997E-4</v>
      </c>
      <c r="AA28" s="25">
        <f>'Risk Factors'!T28</f>
        <v>-8.9300000000000004E-3</v>
      </c>
      <c r="AB28" s="25">
        <f>'Risk Factors'!U28</f>
        <v>4.4999999999999988E-4</v>
      </c>
      <c r="AC28" s="25">
        <f>BMG!F28</f>
        <v>-4.70316E-2</v>
      </c>
      <c r="AE28" s="6"/>
      <c r="AG28" s="6"/>
      <c r="AI28" s="6"/>
      <c r="AK28" s="6"/>
      <c r="AM28" s="6"/>
      <c r="AO28" s="6"/>
      <c r="AQ28" s="6"/>
      <c r="AS28" s="6"/>
      <c r="AU28" s="6"/>
      <c r="AW28" s="6"/>
      <c r="AY28" s="6"/>
      <c r="BA28" s="6"/>
      <c r="BC28" s="6"/>
      <c r="BE28" s="6"/>
      <c r="BG28" s="6"/>
      <c r="BI28" s="6"/>
      <c r="BK28" s="6"/>
      <c r="BM28" s="6"/>
      <c r="BO28" s="6"/>
      <c r="BQ28" s="6"/>
      <c r="BS28" s="6"/>
      <c r="BU28" s="6"/>
      <c r="BW28" s="6"/>
      <c r="BY28" s="6"/>
      <c r="CA28" s="6"/>
      <c r="CC28" s="6"/>
      <c r="CE28" s="6"/>
      <c r="CG28" s="6"/>
      <c r="CI28" s="6"/>
      <c r="CK28" s="6"/>
      <c r="CM28" s="6"/>
      <c r="CO28" s="6"/>
      <c r="CQ28" s="6"/>
      <c r="CS28" s="6"/>
      <c r="CU28" s="6"/>
      <c r="CW28" s="6"/>
      <c r="CY28" s="6"/>
      <c r="DA28" s="6"/>
      <c r="DC28" s="6"/>
      <c r="DE28" s="6"/>
      <c r="DG28" s="6"/>
      <c r="DI28" s="6"/>
      <c r="DK28" s="6"/>
      <c r="DM28" s="6"/>
      <c r="DO28" s="6"/>
      <c r="DQ28" s="6"/>
      <c r="DS28" s="6"/>
      <c r="DU28" s="6"/>
      <c r="DW28" s="6"/>
      <c r="DY28" s="6"/>
      <c r="EA28" s="6"/>
      <c r="EC28" s="6"/>
      <c r="EE28" s="6"/>
      <c r="EG28" s="6"/>
      <c r="EI28" s="6"/>
      <c r="EK28" s="6"/>
      <c r="EM28" s="6"/>
      <c r="EO28" s="6"/>
      <c r="EQ28" s="6"/>
      <c r="ES28" s="6"/>
      <c r="EU28" s="6"/>
      <c r="EW28" s="6"/>
      <c r="EY28" s="6"/>
      <c r="FA28" s="6"/>
      <c r="FC28" s="6"/>
      <c r="FE28" s="6"/>
      <c r="FG28" s="6"/>
      <c r="FI28" s="6"/>
      <c r="FK28" s="6"/>
      <c r="FM28" s="6"/>
      <c r="FO28" s="6"/>
      <c r="FQ28" s="6"/>
      <c r="FS28" s="6"/>
      <c r="FU28" s="6"/>
      <c r="FW28" s="6"/>
      <c r="FY28" s="6"/>
      <c r="GA28" s="6"/>
      <c r="GC28" s="6"/>
      <c r="GE28" s="6"/>
    </row>
    <row r="29" spans="5:187">
      <c r="E29" s="421">
        <v>41029</v>
      </c>
      <c r="F29" s="25">
        <f>'Risk Factors'!F29</f>
        <v>-1.11E-2</v>
      </c>
      <c r="G29" s="25">
        <f>'Risk Factors'!G29</f>
        <v>2.3E-3</v>
      </c>
      <c r="H29" s="25">
        <f>'Risk Factors'!H29</f>
        <v>-1.7500000000000002E-2</v>
      </c>
      <c r="I29" s="25">
        <f>'Risk Factors'!I29</f>
        <v>4.8300000000000003E-2</v>
      </c>
      <c r="J29" s="25">
        <f>BMG!F29</f>
        <v>1.32511E-2</v>
      </c>
      <c r="K29" s="25">
        <f>'Risk Factors'!J29</f>
        <v>0</v>
      </c>
      <c r="L29" s="102"/>
      <c r="M29" s="421">
        <v>41029</v>
      </c>
      <c r="N29" s="25">
        <f>'Risk Factors'!F29</f>
        <v>-1.11E-2</v>
      </c>
      <c r="O29" s="25">
        <f>'Risk Factors'!M29</f>
        <v>2.6199999999999999E-3</v>
      </c>
      <c r="P29" s="25">
        <f>'Risk Factors'!N29</f>
        <v>5.4400000000000004E-3</v>
      </c>
      <c r="Q29" s="25">
        <f>'Risk Factors'!O29</f>
        <v>7.6400000000000001E-3</v>
      </c>
      <c r="R29" s="25">
        <f>'Risk Factors'!P29</f>
        <v>1.294E-2</v>
      </c>
      <c r="S29" s="25">
        <f>'Risk Factors'!R29</f>
        <v>6.7799999999999996E-3</v>
      </c>
      <c r="T29" s="25">
        <f>'Risk Factors'!S29</f>
        <v>1.323E-2</v>
      </c>
      <c r="U29" s="25">
        <f>BMG!F29</f>
        <v>1.32511E-2</v>
      </c>
      <c r="V29" s="25"/>
      <c r="W29" s="421">
        <v>41029</v>
      </c>
      <c r="X29" s="25">
        <f>'Risk Factors'!F29</f>
        <v>-1.11E-2</v>
      </c>
      <c r="Y29" s="25">
        <f>'Risk Factors'!G29</f>
        <v>2.3E-3</v>
      </c>
      <c r="Z29" s="25">
        <f>'Risk Factors'!H29</f>
        <v>-1.7500000000000002E-2</v>
      </c>
      <c r="AA29" s="25">
        <f>'Risk Factors'!T29</f>
        <v>1.323E-2</v>
      </c>
      <c r="AB29" s="25">
        <f>'Risk Factors'!U29</f>
        <v>1.3399999999999992E-3</v>
      </c>
      <c r="AC29" s="25">
        <f>BMG!F29</f>
        <v>1.32511E-2</v>
      </c>
      <c r="AE29" s="6"/>
      <c r="AG29" s="6"/>
      <c r="AI29" s="6"/>
      <c r="AK29" s="6"/>
      <c r="AM29" s="6"/>
      <c r="AO29" s="6"/>
      <c r="AQ29" s="6"/>
      <c r="AS29" s="6"/>
      <c r="AU29" s="6"/>
      <c r="AW29" s="6"/>
      <c r="AY29" s="6"/>
      <c r="BA29" s="6"/>
      <c r="BC29" s="6"/>
      <c r="BE29" s="6"/>
      <c r="BG29" s="6"/>
      <c r="BI29" s="6"/>
      <c r="BK29" s="6"/>
      <c r="BM29" s="6"/>
      <c r="BO29" s="6"/>
      <c r="BQ29" s="6"/>
      <c r="BS29" s="6"/>
      <c r="BU29" s="6"/>
      <c r="BW29" s="6"/>
      <c r="BY29" s="6"/>
      <c r="CA29" s="6"/>
      <c r="CC29" s="6"/>
      <c r="CE29" s="6"/>
      <c r="CG29" s="6"/>
      <c r="CI29" s="6"/>
      <c r="CK29" s="6"/>
      <c r="CM29" s="6"/>
      <c r="CO29" s="6"/>
      <c r="CQ29" s="6"/>
      <c r="CS29" s="6"/>
      <c r="CU29" s="6"/>
      <c r="CW29" s="6"/>
      <c r="CY29" s="6"/>
      <c r="DA29" s="6"/>
      <c r="DC29" s="6"/>
      <c r="DE29" s="6"/>
      <c r="DG29" s="6"/>
      <c r="DI29" s="6"/>
      <c r="DK29" s="6"/>
      <c r="DM29" s="6"/>
      <c r="DO29" s="6"/>
      <c r="DQ29" s="6"/>
      <c r="DS29" s="6"/>
      <c r="DU29" s="6"/>
      <c r="DW29" s="6"/>
      <c r="DY29" s="6"/>
      <c r="EA29" s="6"/>
      <c r="EC29" s="6"/>
      <c r="EE29" s="6"/>
      <c r="EG29" s="6"/>
      <c r="EI29" s="6"/>
      <c r="EK29" s="6"/>
      <c r="EM29" s="6"/>
      <c r="EO29" s="6"/>
      <c r="EQ29" s="6"/>
      <c r="ES29" s="6"/>
      <c r="EU29" s="6"/>
      <c r="EW29" s="6"/>
      <c r="EY29" s="6"/>
      <c r="FA29" s="6"/>
      <c r="FC29" s="6"/>
      <c r="FE29" s="6"/>
      <c r="FG29" s="6"/>
      <c r="FI29" s="6"/>
      <c r="FK29" s="6"/>
      <c r="FM29" s="6"/>
      <c r="FO29" s="6"/>
      <c r="FQ29" s="6"/>
      <c r="FS29" s="6"/>
      <c r="FU29" s="6"/>
      <c r="FW29" s="6"/>
      <c r="FY29" s="6"/>
      <c r="GA29" s="6"/>
      <c r="GC29" s="6"/>
      <c r="GE29" s="6"/>
    </row>
    <row r="30" spans="5:187">
      <c r="E30" s="421">
        <v>41060</v>
      </c>
      <c r="F30" s="25">
        <f>'Risk Factors'!F30</f>
        <v>-8.8900000000000007E-2</v>
      </c>
      <c r="G30" s="25">
        <f>'Risk Factors'!G30</f>
        <v>-5.4000000000000003E-3</v>
      </c>
      <c r="H30" s="25">
        <f>'Risk Factors'!H30</f>
        <v>1.8E-3</v>
      </c>
      <c r="I30" s="25">
        <f>'Risk Factors'!I30</f>
        <v>6.2600000000000003E-2</v>
      </c>
      <c r="J30" s="25">
        <f>BMG!F30</f>
        <v>-6.9093999999999996E-3</v>
      </c>
      <c r="K30" s="25">
        <f>'Risk Factors'!J30</f>
        <v>1E-4</v>
      </c>
      <c r="L30" s="102"/>
      <c r="M30" s="421">
        <v>41060</v>
      </c>
      <c r="N30" s="25">
        <f>'Risk Factors'!F30</f>
        <v>-8.8900000000000007E-2</v>
      </c>
      <c r="O30" s="25">
        <f>'Risk Factors'!M30</f>
        <v>-2.9839999999999998E-2</v>
      </c>
      <c r="P30" s="25">
        <f>'Risk Factors'!N30</f>
        <v>-2.7050000000000001E-2</v>
      </c>
      <c r="Q30" s="25">
        <f>'Risk Factors'!O30</f>
        <v>-2.2620000000000001E-2</v>
      </c>
      <c r="R30" s="25">
        <f>'Risk Factors'!P30</f>
        <v>-1.259E-2</v>
      </c>
      <c r="S30" s="25">
        <f>'Risk Factors'!R30</f>
        <v>-2.6710000000000001E-2</v>
      </c>
      <c r="T30" s="25">
        <f>'Risk Factors'!S30</f>
        <v>-1.1010000000000001E-2</v>
      </c>
      <c r="U30" s="25">
        <f>BMG!F30</f>
        <v>-6.9093999999999996E-3</v>
      </c>
      <c r="V30" s="25"/>
      <c r="W30" s="421">
        <v>41060</v>
      </c>
      <c r="X30" s="25">
        <f>'Risk Factors'!F30</f>
        <v>-8.8900000000000007E-2</v>
      </c>
      <c r="Y30" s="25">
        <f>'Risk Factors'!G30</f>
        <v>-5.4000000000000003E-3</v>
      </c>
      <c r="Z30" s="25">
        <f>'Risk Factors'!H30</f>
        <v>1.8E-3</v>
      </c>
      <c r="AA30" s="25">
        <f>'Risk Factors'!T30</f>
        <v>-1.111E-2</v>
      </c>
      <c r="AB30" s="25">
        <f>'Risk Factors'!U30</f>
        <v>3.4000000000000002E-4</v>
      </c>
      <c r="AC30" s="25">
        <f>BMG!F30</f>
        <v>-6.9093999999999996E-3</v>
      </c>
      <c r="AE30" s="6"/>
      <c r="AG30" s="6"/>
      <c r="AI30" s="6"/>
      <c r="AK30" s="6"/>
      <c r="AM30" s="6"/>
      <c r="AO30" s="6"/>
      <c r="AQ30" s="6"/>
      <c r="AS30" s="6"/>
      <c r="AU30" s="6"/>
      <c r="AW30" s="6"/>
      <c r="AY30" s="6"/>
      <c r="BA30" s="6"/>
      <c r="BC30" s="6"/>
      <c r="BE30" s="6"/>
      <c r="BG30" s="6"/>
      <c r="BI30" s="6"/>
      <c r="BK30" s="6"/>
      <c r="BM30" s="6"/>
      <c r="BO30" s="6"/>
      <c r="BQ30" s="6"/>
      <c r="BS30" s="6"/>
      <c r="BU30" s="6"/>
      <c r="BW30" s="6"/>
      <c r="BY30" s="6"/>
      <c r="CA30" s="6"/>
      <c r="CC30" s="6"/>
      <c r="CE30" s="6"/>
      <c r="CG30" s="6"/>
      <c r="CI30" s="6"/>
      <c r="CK30" s="6"/>
      <c r="CM30" s="6"/>
      <c r="CO30" s="6"/>
      <c r="CQ30" s="6"/>
      <c r="CS30" s="6"/>
      <c r="CU30" s="6"/>
      <c r="CW30" s="6"/>
      <c r="CY30" s="6"/>
      <c r="DA30" s="6"/>
      <c r="DC30" s="6"/>
      <c r="DE30" s="6"/>
      <c r="DG30" s="6"/>
      <c r="DI30" s="6"/>
      <c r="DK30" s="6"/>
      <c r="DM30" s="6"/>
      <c r="DO30" s="6"/>
      <c r="DQ30" s="6"/>
      <c r="DS30" s="6"/>
      <c r="DU30" s="6"/>
      <c r="DW30" s="6"/>
      <c r="DY30" s="6"/>
      <c r="EA30" s="6"/>
      <c r="EC30" s="6"/>
      <c r="EE30" s="6"/>
      <c r="EG30" s="6"/>
      <c r="EI30" s="6"/>
      <c r="EK30" s="6"/>
      <c r="EM30" s="6"/>
      <c r="EO30" s="6"/>
      <c r="EQ30" s="6"/>
      <c r="ES30" s="6"/>
      <c r="EU30" s="6"/>
      <c r="EW30" s="6"/>
      <c r="EY30" s="6"/>
      <c r="FA30" s="6"/>
      <c r="FC30" s="6"/>
      <c r="FE30" s="6"/>
      <c r="FG30" s="6"/>
      <c r="FI30" s="6"/>
      <c r="FK30" s="6"/>
      <c r="FM30" s="6"/>
      <c r="FO30" s="6"/>
      <c r="FQ30" s="6"/>
      <c r="FS30" s="6"/>
      <c r="FU30" s="6"/>
      <c r="FW30" s="6"/>
      <c r="FY30" s="6"/>
      <c r="GA30" s="6"/>
      <c r="GC30" s="6"/>
      <c r="GE30" s="6"/>
    </row>
    <row r="31" spans="5:187">
      <c r="E31" s="421">
        <v>41090</v>
      </c>
      <c r="F31" s="25">
        <f>'Risk Factors'!F31</f>
        <v>4.8500000000000001E-2</v>
      </c>
      <c r="G31" s="25">
        <f>'Risk Factors'!G31</f>
        <v>-1.5900000000000001E-2</v>
      </c>
      <c r="H31" s="25">
        <f>'Risk Factors'!H31</f>
        <v>1.5299999999999999E-2</v>
      </c>
      <c r="I31" s="25">
        <f>'Risk Factors'!I31</f>
        <v>-9.7999999999999997E-3</v>
      </c>
      <c r="J31" s="25">
        <f>BMG!F31</f>
        <v>-4.0228E-3</v>
      </c>
      <c r="K31" s="25">
        <f>'Risk Factors'!J31</f>
        <v>0</v>
      </c>
      <c r="L31" s="102"/>
      <c r="M31" s="421">
        <v>41090</v>
      </c>
      <c r="N31" s="25">
        <f>'Risk Factors'!F31</f>
        <v>4.8500000000000001E-2</v>
      </c>
      <c r="O31" s="25">
        <f>'Risk Factors'!M31</f>
        <v>1.346E-2</v>
      </c>
      <c r="P31" s="25">
        <f>'Risk Factors'!N31</f>
        <v>1.3769999999999999E-2</v>
      </c>
      <c r="Q31" s="25">
        <f>'Risk Factors'!O31</f>
        <v>1.158E-2</v>
      </c>
      <c r="R31" s="25">
        <f>'Risk Factors'!P31</f>
        <v>9.7900000000000001E-3</v>
      </c>
      <c r="S31" s="25">
        <f>'Risk Factors'!R31</f>
        <v>2.478E-2</v>
      </c>
      <c r="T31" s="25">
        <f>'Risk Factors'!S31</f>
        <v>3.3E-3</v>
      </c>
      <c r="U31" s="25">
        <f>BMG!F31</f>
        <v>-4.0228E-3</v>
      </c>
      <c r="V31" s="25"/>
      <c r="W31" s="421">
        <v>41090</v>
      </c>
      <c r="X31" s="25">
        <f>'Risk Factors'!F31</f>
        <v>4.8500000000000001E-2</v>
      </c>
      <c r="Y31" s="25">
        <f>'Risk Factors'!G31</f>
        <v>-1.5900000000000001E-2</v>
      </c>
      <c r="Z31" s="25">
        <f>'Risk Factors'!H31</f>
        <v>1.5299999999999999E-2</v>
      </c>
      <c r="AA31" s="25">
        <f>'Risk Factors'!T31</f>
        <v>3.3E-3</v>
      </c>
      <c r="AB31" s="25">
        <f>'Risk Factors'!U31</f>
        <v>1.1010000000000001E-2</v>
      </c>
      <c r="AC31" s="25">
        <f>BMG!F31</f>
        <v>-4.0228E-3</v>
      </c>
      <c r="AE31" s="6"/>
      <c r="AG31" s="6"/>
      <c r="AI31" s="6"/>
      <c r="AK31" s="6"/>
      <c r="AM31" s="6"/>
      <c r="AO31" s="6"/>
      <c r="AQ31" s="6"/>
      <c r="AS31" s="6"/>
      <c r="AU31" s="6"/>
      <c r="AW31" s="6"/>
      <c r="AY31" s="6"/>
      <c r="BA31" s="6"/>
      <c r="BC31" s="6"/>
      <c r="BE31" s="6"/>
      <c r="BG31" s="6"/>
      <c r="BI31" s="6"/>
      <c r="BK31" s="6"/>
      <c r="BM31" s="6"/>
      <c r="BO31" s="6"/>
      <c r="BQ31" s="6"/>
      <c r="BS31" s="6"/>
      <c r="BU31" s="6"/>
      <c r="BW31" s="6"/>
      <c r="BY31" s="6"/>
      <c r="CA31" s="6"/>
      <c r="CC31" s="6"/>
      <c r="CE31" s="6"/>
      <c r="CG31" s="6"/>
      <c r="CI31" s="6"/>
      <c r="CK31" s="6"/>
      <c r="CM31" s="6"/>
      <c r="CO31" s="6"/>
      <c r="CQ31" s="6"/>
      <c r="CS31" s="6"/>
      <c r="CU31" s="6"/>
      <c r="CW31" s="6"/>
      <c r="CY31" s="6"/>
      <c r="DA31" s="6"/>
      <c r="DC31" s="6"/>
      <c r="DE31" s="6"/>
      <c r="DG31" s="6"/>
      <c r="DI31" s="6"/>
      <c r="DK31" s="6"/>
      <c r="DM31" s="6"/>
      <c r="DO31" s="6"/>
      <c r="DQ31" s="6"/>
      <c r="DS31" s="6"/>
      <c r="DU31" s="6"/>
      <c r="DW31" s="6"/>
      <c r="DY31" s="6"/>
      <c r="EA31" s="6"/>
      <c r="EC31" s="6"/>
      <c r="EE31" s="6"/>
      <c r="EG31" s="6"/>
      <c r="EI31" s="6"/>
      <c r="EK31" s="6"/>
      <c r="EM31" s="6"/>
      <c r="EO31" s="6"/>
      <c r="EQ31" s="6"/>
      <c r="ES31" s="6"/>
      <c r="EU31" s="6"/>
      <c r="EW31" s="6"/>
      <c r="EY31" s="6"/>
      <c r="FA31" s="6"/>
      <c r="FC31" s="6"/>
      <c r="FE31" s="6"/>
      <c r="FG31" s="6"/>
      <c r="FI31" s="6"/>
      <c r="FK31" s="6"/>
      <c r="FM31" s="6"/>
      <c r="FO31" s="6"/>
      <c r="FQ31" s="6"/>
      <c r="FS31" s="6"/>
      <c r="FU31" s="6"/>
      <c r="FW31" s="6"/>
      <c r="FY31" s="6"/>
      <c r="GA31" s="6"/>
      <c r="GC31" s="6"/>
      <c r="GE31" s="6"/>
    </row>
    <row r="32" spans="5:187">
      <c r="E32" s="421">
        <v>41121</v>
      </c>
      <c r="F32" s="25">
        <f>'Risk Factors'!F32</f>
        <v>8.5000000000000006E-3</v>
      </c>
      <c r="G32" s="25">
        <f>'Risk Factors'!G32</f>
        <v>-1.6400000000000001E-2</v>
      </c>
      <c r="H32" s="25">
        <f>'Risk Factors'!H32</f>
        <v>-1.0500000000000001E-2</v>
      </c>
      <c r="I32" s="25">
        <f>'Risk Factors'!I32</f>
        <v>3.6900000000000002E-2</v>
      </c>
      <c r="J32" s="25">
        <f>BMG!F32</f>
        <v>1.8383699999999999E-2</v>
      </c>
      <c r="K32" s="25">
        <f>'Risk Factors'!J32</f>
        <v>0</v>
      </c>
      <c r="L32" s="102"/>
      <c r="M32" s="421">
        <v>41121</v>
      </c>
      <c r="N32" s="25">
        <f>'Risk Factors'!F32</f>
        <v>8.5000000000000006E-3</v>
      </c>
      <c r="O32" s="25">
        <f>'Risk Factors'!M32</f>
        <v>0</v>
      </c>
      <c r="P32" s="25">
        <f>'Risk Factors'!N32</f>
        <v>9.3200000000000002E-3</v>
      </c>
      <c r="Q32" s="25">
        <f>'Risk Factors'!O32</f>
        <v>1.687E-2</v>
      </c>
      <c r="R32" s="25">
        <f>'Risk Factors'!P32</f>
        <v>2.4979999999999999E-2</v>
      </c>
      <c r="S32" s="25">
        <f>'Risk Factors'!R32</f>
        <v>1.6320000000000001E-2</v>
      </c>
      <c r="T32" s="25">
        <f>'Risk Factors'!S32</f>
        <v>6.45E-3</v>
      </c>
      <c r="U32" s="25">
        <f>BMG!F32</f>
        <v>1.8383699999999999E-2</v>
      </c>
      <c r="V32" s="25"/>
      <c r="W32" s="421">
        <v>41121</v>
      </c>
      <c r="X32" s="25">
        <f>'Risk Factors'!F32</f>
        <v>8.5000000000000006E-3</v>
      </c>
      <c r="Y32" s="25">
        <f>'Risk Factors'!G32</f>
        <v>-1.6400000000000001E-2</v>
      </c>
      <c r="Z32" s="25">
        <f>'Risk Factors'!H32</f>
        <v>-1.0500000000000001E-2</v>
      </c>
      <c r="AA32" s="25">
        <f>'Risk Factors'!T32</f>
        <v>6.45E-3</v>
      </c>
      <c r="AB32" s="25">
        <f>'Risk Factors'!U32</f>
        <v>7.000000000000001E-3</v>
      </c>
      <c r="AC32" s="25">
        <f>BMG!F32</f>
        <v>1.8383699999999999E-2</v>
      </c>
      <c r="AE32" s="6"/>
      <c r="AG32" s="6"/>
      <c r="AI32" s="6"/>
      <c r="AK32" s="6"/>
      <c r="AM32" s="6"/>
      <c r="AO32" s="6"/>
      <c r="AQ32" s="6"/>
      <c r="AS32" s="6"/>
      <c r="AU32" s="6"/>
      <c r="AW32" s="6"/>
      <c r="AY32" s="6"/>
      <c r="BA32" s="6"/>
      <c r="BC32" s="6"/>
      <c r="BE32" s="6"/>
      <c r="BG32" s="6"/>
      <c r="BI32" s="6"/>
      <c r="BK32" s="6"/>
      <c r="BM32" s="6"/>
      <c r="BO32" s="6"/>
      <c r="BQ32" s="6"/>
      <c r="BS32" s="6"/>
      <c r="BU32" s="6"/>
      <c r="BW32" s="6"/>
      <c r="BY32" s="6"/>
      <c r="CA32" s="6"/>
      <c r="CC32" s="6"/>
      <c r="CE32" s="6"/>
      <c r="CG32" s="6"/>
      <c r="CI32" s="6"/>
      <c r="CK32" s="6"/>
      <c r="CM32" s="6"/>
      <c r="CO32" s="6"/>
      <c r="CQ32" s="6"/>
      <c r="CS32" s="6"/>
      <c r="CU32" s="6"/>
      <c r="CW32" s="6"/>
      <c r="CY32" s="6"/>
      <c r="DA32" s="6"/>
      <c r="DC32" s="6"/>
      <c r="DE32" s="6"/>
      <c r="DG32" s="6"/>
      <c r="DI32" s="6"/>
      <c r="DK32" s="6"/>
      <c r="DM32" s="6"/>
      <c r="DO32" s="6"/>
      <c r="DQ32" s="6"/>
      <c r="DS32" s="6"/>
      <c r="DU32" s="6"/>
      <c r="DW32" s="6"/>
      <c r="DY32" s="6"/>
      <c r="EA32" s="6"/>
      <c r="EC32" s="6"/>
      <c r="EE32" s="6"/>
      <c r="EG32" s="6"/>
      <c r="EI32" s="6"/>
      <c r="EK32" s="6"/>
      <c r="EM32" s="6"/>
      <c r="EO32" s="6"/>
      <c r="EQ32" s="6"/>
      <c r="ES32" s="6"/>
      <c r="EU32" s="6"/>
      <c r="EW32" s="6"/>
      <c r="EY32" s="6"/>
      <c r="FA32" s="6"/>
      <c r="FC32" s="6"/>
      <c r="FE32" s="6"/>
      <c r="FG32" s="6"/>
      <c r="FI32" s="6"/>
      <c r="FK32" s="6"/>
      <c r="FM32" s="6"/>
      <c r="FO32" s="6"/>
      <c r="FQ32" s="6"/>
      <c r="FS32" s="6"/>
      <c r="FU32" s="6"/>
      <c r="FW32" s="6"/>
      <c r="FY32" s="6"/>
      <c r="GA32" s="6"/>
      <c r="GC32" s="6"/>
      <c r="GE32" s="6"/>
    </row>
    <row r="33" spans="5:187">
      <c r="E33" s="421">
        <v>41152</v>
      </c>
      <c r="F33" s="25">
        <f>'Risk Factors'!F33</f>
        <v>2.7900000000000001E-2</v>
      </c>
      <c r="G33" s="25">
        <f>'Risk Factors'!G33</f>
        <v>-2.0999999999999999E-3</v>
      </c>
      <c r="H33" s="25">
        <f>'Risk Factors'!H33</f>
        <v>7.4000000000000003E-3</v>
      </c>
      <c r="I33" s="25">
        <f>'Risk Factors'!I33</f>
        <v>-1.7399999999999999E-2</v>
      </c>
      <c r="J33" s="25">
        <f>BMG!F33</f>
        <v>-1.78929E-2</v>
      </c>
      <c r="K33" s="25">
        <f>'Risk Factors'!J33</f>
        <v>1E-4</v>
      </c>
      <c r="L33" s="102"/>
      <c r="M33" s="421">
        <v>41152</v>
      </c>
      <c r="N33" s="25">
        <f>'Risk Factors'!F33</f>
        <v>2.7900000000000001E-2</v>
      </c>
      <c r="O33" s="25">
        <f>'Risk Factors'!M33</f>
        <v>1.328E-2</v>
      </c>
      <c r="P33" s="25">
        <f>'Risk Factors'!N33</f>
        <v>1.6910000000000001E-2</v>
      </c>
      <c r="Q33" s="25">
        <f>'Risk Factors'!O33</f>
        <v>1.711E-2</v>
      </c>
      <c r="R33" s="25">
        <f>'Risk Factors'!P33</f>
        <v>1.4080000000000001E-2</v>
      </c>
      <c r="S33" s="25">
        <f>'Risk Factors'!R33</f>
        <v>1.9689999999999999E-2</v>
      </c>
      <c r="T33" s="25">
        <f>'Risk Factors'!S33</f>
        <v>7.6899999999999998E-3</v>
      </c>
      <c r="U33" s="25">
        <f>BMG!F33</f>
        <v>-1.78929E-2</v>
      </c>
      <c r="V33" s="25"/>
      <c r="W33" s="421">
        <v>41152</v>
      </c>
      <c r="X33" s="25">
        <f>'Risk Factors'!F33</f>
        <v>2.7900000000000001E-2</v>
      </c>
      <c r="Y33" s="25">
        <f>'Risk Factors'!G33</f>
        <v>-2.0999999999999999E-3</v>
      </c>
      <c r="Z33" s="25">
        <f>'Risk Factors'!H33</f>
        <v>7.4000000000000003E-3</v>
      </c>
      <c r="AA33" s="25">
        <f>'Risk Factors'!T33</f>
        <v>7.5899999999999995E-3</v>
      </c>
      <c r="AB33" s="25">
        <f>'Risk Factors'!U33</f>
        <v>2.7799999999999978E-3</v>
      </c>
      <c r="AC33" s="25">
        <f>BMG!F33</f>
        <v>-1.78929E-2</v>
      </c>
      <c r="AE33" s="6"/>
      <c r="AG33" s="6"/>
      <c r="AI33" s="6"/>
      <c r="AK33" s="6"/>
      <c r="AM33" s="6"/>
      <c r="AO33" s="6"/>
      <c r="AQ33" s="6"/>
      <c r="AS33" s="6"/>
      <c r="AU33" s="6"/>
      <c r="AW33" s="6"/>
      <c r="AY33" s="6"/>
      <c r="BA33" s="6"/>
      <c r="BC33" s="6"/>
      <c r="BE33" s="6"/>
      <c r="BG33" s="6"/>
      <c r="BI33" s="6"/>
      <c r="BK33" s="6"/>
      <c r="BM33" s="6"/>
      <c r="BO33" s="6"/>
      <c r="BQ33" s="6"/>
      <c r="BS33" s="6"/>
      <c r="BU33" s="6"/>
      <c r="BW33" s="6"/>
      <c r="BY33" s="6"/>
      <c r="CA33" s="6"/>
      <c r="CC33" s="6"/>
      <c r="CE33" s="6"/>
      <c r="CG33" s="6"/>
      <c r="CI33" s="6"/>
      <c r="CK33" s="6"/>
      <c r="CM33" s="6"/>
      <c r="CO33" s="6"/>
      <c r="CQ33" s="6"/>
      <c r="CS33" s="6"/>
      <c r="CU33" s="6"/>
      <c r="CW33" s="6"/>
      <c r="CY33" s="6"/>
      <c r="DA33" s="6"/>
      <c r="DC33" s="6"/>
      <c r="DE33" s="6"/>
      <c r="DG33" s="6"/>
      <c r="DI33" s="6"/>
      <c r="DK33" s="6"/>
      <c r="DM33" s="6"/>
      <c r="DO33" s="6"/>
      <c r="DQ33" s="6"/>
      <c r="DS33" s="6"/>
      <c r="DU33" s="6"/>
      <c r="DW33" s="6"/>
      <c r="DY33" s="6"/>
      <c r="EA33" s="6"/>
      <c r="EC33" s="6"/>
      <c r="EE33" s="6"/>
      <c r="EG33" s="6"/>
      <c r="EI33" s="6"/>
      <c r="EK33" s="6"/>
      <c r="EM33" s="6"/>
      <c r="EO33" s="6"/>
      <c r="EQ33" s="6"/>
      <c r="ES33" s="6"/>
      <c r="EU33" s="6"/>
      <c r="EW33" s="6"/>
      <c r="EY33" s="6"/>
      <c r="FA33" s="6"/>
      <c r="FC33" s="6"/>
      <c r="FE33" s="6"/>
      <c r="FG33" s="6"/>
      <c r="FI33" s="6"/>
      <c r="FK33" s="6"/>
      <c r="FM33" s="6"/>
      <c r="FO33" s="6"/>
      <c r="FQ33" s="6"/>
      <c r="FS33" s="6"/>
      <c r="FU33" s="6"/>
      <c r="FW33" s="6"/>
      <c r="FY33" s="6"/>
      <c r="GA33" s="6"/>
      <c r="GC33" s="6"/>
      <c r="GE33" s="6"/>
    </row>
    <row r="34" spans="5:187">
      <c r="E34" s="421">
        <v>41182</v>
      </c>
      <c r="F34" s="25">
        <f>'Risk Factors'!F34</f>
        <v>3.0800000000000001E-2</v>
      </c>
      <c r="G34" s="25">
        <f>'Risk Factors'!G34</f>
        <v>1.11E-2</v>
      </c>
      <c r="H34" s="25">
        <f>'Risk Factors'!H34</f>
        <v>1.26E-2</v>
      </c>
      <c r="I34" s="25">
        <f>'Risk Factors'!I34</f>
        <v>-1.34E-2</v>
      </c>
      <c r="J34" s="25">
        <f>BMG!F34</f>
        <v>1.07945E-2</v>
      </c>
      <c r="K34" s="25">
        <f>'Risk Factors'!J34</f>
        <v>1E-4</v>
      </c>
      <c r="L34" s="102"/>
      <c r="M34" s="421">
        <v>41182</v>
      </c>
      <c r="N34" s="25">
        <f>'Risk Factors'!F34</f>
        <v>3.0800000000000001E-2</v>
      </c>
      <c r="O34" s="25">
        <f>'Risk Factors'!M34</f>
        <v>1.3440000000000001E-2</v>
      </c>
      <c r="P34" s="25">
        <f>'Risk Factors'!N34</f>
        <v>1.619E-2</v>
      </c>
      <c r="Q34" s="25">
        <f>'Risk Factors'!O34</f>
        <v>1.7690000000000001E-2</v>
      </c>
      <c r="R34" s="25">
        <f>'Risk Factors'!P34</f>
        <v>1.7500000000000002E-2</v>
      </c>
      <c r="S34" s="25">
        <f>'Risk Factors'!R34</f>
        <v>2.0719999999999999E-2</v>
      </c>
      <c r="T34" s="25">
        <f>'Risk Factors'!S34</f>
        <v>1.15E-2</v>
      </c>
      <c r="U34" s="25">
        <f>BMG!F34</f>
        <v>1.07945E-2</v>
      </c>
      <c r="V34" s="25"/>
      <c r="W34" s="421">
        <v>41182</v>
      </c>
      <c r="X34" s="25">
        <f>'Risk Factors'!F34</f>
        <v>3.0800000000000001E-2</v>
      </c>
      <c r="Y34" s="25">
        <f>'Risk Factors'!G34</f>
        <v>1.11E-2</v>
      </c>
      <c r="Z34" s="25">
        <f>'Risk Factors'!H34</f>
        <v>1.26E-2</v>
      </c>
      <c r="AA34" s="25">
        <f>'Risk Factors'!T34</f>
        <v>1.14E-2</v>
      </c>
      <c r="AB34" s="25">
        <f>'Risk Factors'!U34</f>
        <v>4.5299999999999993E-3</v>
      </c>
      <c r="AC34" s="25">
        <f>BMG!F34</f>
        <v>1.07945E-2</v>
      </c>
      <c r="AE34" s="6"/>
      <c r="AG34" s="6"/>
      <c r="AI34" s="6"/>
      <c r="AK34" s="6"/>
      <c r="AM34" s="6"/>
      <c r="AO34" s="6"/>
      <c r="AQ34" s="6"/>
      <c r="AS34" s="6"/>
      <c r="AU34" s="6"/>
      <c r="AW34" s="6"/>
      <c r="AY34" s="6"/>
      <c r="BA34" s="6"/>
      <c r="BC34" s="6"/>
      <c r="BE34" s="6"/>
      <c r="BG34" s="6"/>
      <c r="BI34" s="6"/>
      <c r="BK34" s="6"/>
      <c r="BM34" s="6"/>
      <c r="BO34" s="6"/>
      <c r="BQ34" s="6"/>
      <c r="BS34" s="6"/>
      <c r="BU34" s="6"/>
      <c r="BW34" s="6"/>
      <c r="BY34" s="6"/>
      <c r="CA34" s="6"/>
      <c r="CC34" s="6"/>
      <c r="CE34" s="6"/>
      <c r="CG34" s="6"/>
      <c r="CI34" s="6"/>
      <c r="CK34" s="6"/>
      <c r="CM34" s="6"/>
      <c r="CO34" s="6"/>
      <c r="CQ34" s="6"/>
      <c r="CS34" s="6"/>
      <c r="CU34" s="6"/>
      <c r="CW34" s="6"/>
      <c r="CY34" s="6"/>
      <c r="DA34" s="6"/>
      <c r="DC34" s="6"/>
      <c r="DE34" s="6"/>
      <c r="DG34" s="6"/>
      <c r="DI34" s="6"/>
      <c r="DK34" s="6"/>
      <c r="DM34" s="6"/>
      <c r="DO34" s="6"/>
      <c r="DQ34" s="6"/>
      <c r="DS34" s="6"/>
      <c r="DU34" s="6"/>
      <c r="DW34" s="6"/>
      <c r="DY34" s="6"/>
      <c r="EA34" s="6"/>
      <c r="EC34" s="6"/>
      <c r="EE34" s="6"/>
      <c r="EG34" s="6"/>
      <c r="EI34" s="6"/>
      <c r="EK34" s="6"/>
      <c r="EM34" s="6"/>
      <c r="EO34" s="6"/>
      <c r="EQ34" s="6"/>
      <c r="ES34" s="6"/>
      <c r="EU34" s="6"/>
      <c r="EW34" s="6"/>
      <c r="EY34" s="6"/>
      <c r="FA34" s="6"/>
      <c r="FC34" s="6"/>
      <c r="FE34" s="6"/>
      <c r="FG34" s="6"/>
      <c r="FI34" s="6"/>
      <c r="FK34" s="6"/>
      <c r="FM34" s="6"/>
      <c r="FO34" s="6"/>
      <c r="FQ34" s="6"/>
      <c r="FS34" s="6"/>
      <c r="FU34" s="6"/>
      <c r="FW34" s="6"/>
      <c r="FY34" s="6"/>
      <c r="GA34" s="6"/>
      <c r="GC34" s="6"/>
      <c r="GE34" s="6"/>
    </row>
    <row r="35" spans="5:187">
      <c r="E35" s="421">
        <v>41213</v>
      </c>
      <c r="F35" s="25">
        <f>'Risk Factors'!F35</f>
        <v>-4.3E-3</v>
      </c>
      <c r="G35" s="25">
        <f>'Risk Factors'!G35</f>
        <v>-7.0000000000000001E-3</v>
      </c>
      <c r="H35" s="25">
        <f>'Risk Factors'!H35</f>
        <v>2.18E-2</v>
      </c>
      <c r="I35" s="25">
        <f>'Risk Factors'!I35</f>
        <v>8.0000000000000004E-4</v>
      </c>
      <c r="J35" s="25">
        <f>BMG!F35</f>
        <v>4.6852999999999999E-3</v>
      </c>
      <c r="K35" s="25">
        <f>'Risk Factors'!J35</f>
        <v>1E-4</v>
      </c>
      <c r="L35" s="102"/>
      <c r="M35" s="421">
        <v>41213</v>
      </c>
      <c r="N35" s="25">
        <f>'Risk Factors'!F35</f>
        <v>-4.3E-3</v>
      </c>
      <c r="O35" s="25">
        <f>'Risk Factors'!M35</f>
        <v>3.2599999999999999E-3</v>
      </c>
      <c r="P35" s="25">
        <f>'Risk Factors'!N35</f>
        <v>7.0600000000000003E-3</v>
      </c>
      <c r="Q35" s="25">
        <f>'Risk Factors'!O35</f>
        <v>1.09E-2</v>
      </c>
      <c r="R35" s="25">
        <f>'Risk Factors'!P35</f>
        <v>1.43E-2</v>
      </c>
      <c r="S35" s="25">
        <f>'Risk Factors'!R35</f>
        <v>1.306E-2</v>
      </c>
      <c r="T35" s="25">
        <f>'Risk Factors'!S35</f>
        <v>-5.5199999999999997E-3</v>
      </c>
      <c r="U35" s="25">
        <f>BMG!F35</f>
        <v>4.6852999999999999E-3</v>
      </c>
      <c r="V35" s="25"/>
      <c r="W35" s="421">
        <v>41213</v>
      </c>
      <c r="X35" s="25">
        <f>'Risk Factors'!F35</f>
        <v>-4.3E-3</v>
      </c>
      <c r="Y35" s="25">
        <f>'Risk Factors'!G35</f>
        <v>-7.0000000000000001E-3</v>
      </c>
      <c r="Z35" s="25">
        <f>'Risk Factors'!H35</f>
        <v>2.18E-2</v>
      </c>
      <c r="AA35" s="25">
        <f>'Risk Factors'!T35</f>
        <v>-5.62E-3</v>
      </c>
      <c r="AB35" s="25">
        <f>'Risk Factors'!U35</f>
        <v>6.0000000000000001E-3</v>
      </c>
      <c r="AC35" s="25">
        <f>BMG!F35</f>
        <v>4.6852999999999999E-3</v>
      </c>
      <c r="AE35" s="6"/>
      <c r="AG35" s="6"/>
      <c r="AI35" s="6"/>
      <c r="AK35" s="6"/>
      <c r="AM35" s="6"/>
      <c r="AO35" s="6"/>
      <c r="AQ35" s="6"/>
      <c r="AS35" s="6"/>
      <c r="AU35" s="6"/>
      <c r="AW35" s="6"/>
      <c r="AY35" s="6"/>
      <c r="BA35" s="6"/>
      <c r="BC35" s="6"/>
      <c r="BE35" s="6"/>
      <c r="BG35" s="6"/>
      <c r="BI35" s="6"/>
      <c r="BK35" s="6"/>
      <c r="BM35" s="6"/>
      <c r="BO35" s="6"/>
      <c r="BQ35" s="6"/>
      <c r="BS35" s="6"/>
      <c r="BU35" s="6"/>
      <c r="BW35" s="6"/>
      <c r="BY35" s="6"/>
      <c r="CA35" s="6"/>
      <c r="CC35" s="6"/>
      <c r="CE35" s="6"/>
      <c r="CG35" s="6"/>
      <c r="CI35" s="6"/>
      <c r="CK35" s="6"/>
      <c r="CM35" s="6"/>
      <c r="CO35" s="6"/>
      <c r="CQ35" s="6"/>
      <c r="CS35" s="6"/>
      <c r="CU35" s="6"/>
      <c r="CW35" s="6"/>
      <c r="CY35" s="6"/>
      <c r="DA35" s="6"/>
      <c r="DC35" s="6"/>
      <c r="DE35" s="6"/>
      <c r="DG35" s="6"/>
      <c r="DI35" s="6"/>
      <c r="DK35" s="6"/>
      <c r="DM35" s="6"/>
      <c r="DO35" s="6"/>
      <c r="DQ35" s="6"/>
      <c r="DS35" s="6"/>
      <c r="DU35" s="6"/>
      <c r="DW35" s="6"/>
      <c r="DY35" s="6"/>
      <c r="EA35" s="6"/>
      <c r="EC35" s="6"/>
      <c r="EE35" s="6"/>
      <c r="EG35" s="6"/>
      <c r="EI35" s="6"/>
      <c r="EK35" s="6"/>
      <c r="EM35" s="6"/>
      <c r="EO35" s="6"/>
      <c r="EQ35" s="6"/>
      <c r="ES35" s="6"/>
      <c r="EU35" s="6"/>
      <c r="EW35" s="6"/>
      <c r="EY35" s="6"/>
      <c r="FA35" s="6"/>
      <c r="FC35" s="6"/>
      <c r="FE35" s="6"/>
      <c r="FG35" s="6"/>
      <c r="FI35" s="6"/>
      <c r="FK35" s="6"/>
      <c r="FM35" s="6"/>
      <c r="FO35" s="6"/>
      <c r="FQ35" s="6"/>
      <c r="FS35" s="6"/>
      <c r="FU35" s="6"/>
      <c r="FW35" s="6"/>
      <c r="FY35" s="6"/>
      <c r="GA35" s="6"/>
      <c r="GC35" s="6"/>
      <c r="GE35" s="6"/>
    </row>
    <row r="36" spans="5:187">
      <c r="E36" s="421">
        <v>41243</v>
      </c>
      <c r="F36" s="25">
        <f>'Risk Factors'!F36</f>
        <v>1.32E-2</v>
      </c>
      <c r="G36" s="25">
        <f>'Risk Factors'!G36</f>
        <v>-1.1900000000000001E-2</v>
      </c>
      <c r="H36" s="25">
        <f>'Risk Factors'!H36</f>
        <v>2.9999999999999997E-4</v>
      </c>
      <c r="I36" s="25">
        <f>'Risk Factors'!I36</f>
        <v>1.0699999999999999E-2</v>
      </c>
      <c r="J36" s="25">
        <f>BMG!F36</f>
        <v>-3.1395399999999997E-2</v>
      </c>
      <c r="K36" s="25">
        <f>'Risk Factors'!J36</f>
        <v>1E-4</v>
      </c>
      <c r="L36" s="102"/>
      <c r="M36" s="421">
        <v>41243</v>
      </c>
      <c r="N36" s="25">
        <f>'Risk Factors'!F36</f>
        <v>1.32E-2</v>
      </c>
      <c r="O36" s="25">
        <f>'Risk Factors'!M36</f>
        <v>1.23E-3</v>
      </c>
      <c r="P36" s="25">
        <f>'Risk Factors'!N36</f>
        <v>4.4999999999999997E-3</v>
      </c>
      <c r="Q36" s="25">
        <f>'Risk Factors'!O36</f>
        <v>6.1000000000000004E-3</v>
      </c>
      <c r="R36" s="25">
        <f>'Risk Factors'!P36</f>
        <v>6.4799999999999996E-3</v>
      </c>
      <c r="S36" s="25">
        <f>'Risk Factors'!R36</f>
        <v>1.115E-2</v>
      </c>
      <c r="T36" s="25">
        <f>'Risk Factors'!S36</f>
        <v>-2.5699999999999998E-3</v>
      </c>
      <c r="U36" s="25">
        <f>BMG!F36</f>
        <v>-3.1395399999999997E-2</v>
      </c>
      <c r="V36" s="25"/>
      <c r="W36" s="421">
        <v>41243</v>
      </c>
      <c r="X36" s="25">
        <f>'Risk Factors'!F36</f>
        <v>1.32E-2</v>
      </c>
      <c r="Y36" s="25">
        <f>'Risk Factors'!G36</f>
        <v>-1.1900000000000001E-2</v>
      </c>
      <c r="Z36" s="25">
        <f>'Risk Factors'!H36</f>
        <v>2.9999999999999997E-4</v>
      </c>
      <c r="AA36" s="25">
        <f>'Risk Factors'!T36</f>
        <v>-2.6699999999999996E-3</v>
      </c>
      <c r="AB36" s="25">
        <f>'Risk Factors'!U36</f>
        <v>6.6500000000000005E-3</v>
      </c>
      <c r="AC36" s="25">
        <f>BMG!F36</f>
        <v>-3.1395399999999997E-2</v>
      </c>
      <c r="AE36" s="6"/>
      <c r="AG36" s="6"/>
      <c r="AI36" s="6"/>
      <c r="AK36" s="6"/>
      <c r="AM36" s="6"/>
      <c r="AO36" s="6"/>
      <c r="AQ36" s="6"/>
      <c r="AS36" s="6"/>
      <c r="AU36" s="6"/>
      <c r="AW36" s="6"/>
      <c r="AY36" s="6"/>
      <c r="BA36" s="6"/>
      <c r="BC36" s="6"/>
      <c r="BE36" s="6"/>
      <c r="BG36" s="6"/>
      <c r="BI36" s="6"/>
      <c r="BK36" s="6"/>
      <c r="BM36" s="6"/>
      <c r="BO36" s="6"/>
      <c r="BQ36" s="6"/>
      <c r="BS36" s="6"/>
      <c r="BU36" s="6"/>
      <c r="BW36" s="6"/>
      <c r="BY36" s="6"/>
      <c r="CA36" s="6"/>
      <c r="CC36" s="6"/>
      <c r="CE36" s="6"/>
      <c r="CG36" s="6"/>
      <c r="CI36" s="6"/>
      <c r="CK36" s="6"/>
      <c r="CM36" s="6"/>
      <c r="CO36" s="6"/>
      <c r="CQ36" s="6"/>
      <c r="CS36" s="6"/>
      <c r="CU36" s="6"/>
      <c r="CW36" s="6"/>
      <c r="CY36" s="6"/>
      <c r="DA36" s="6"/>
      <c r="DC36" s="6"/>
      <c r="DE36" s="6"/>
      <c r="DG36" s="6"/>
      <c r="DI36" s="6"/>
      <c r="DK36" s="6"/>
      <c r="DM36" s="6"/>
      <c r="DO36" s="6"/>
      <c r="DQ36" s="6"/>
      <c r="DS36" s="6"/>
      <c r="DU36" s="6"/>
      <c r="DW36" s="6"/>
      <c r="DY36" s="6"/>
      <c r="EA36" s="6"/>
      <c r="EC36" s="6"/>
      <c r="EE36" s="6"/>
      <c r="EG36" s="6"/>
      <c r="EI36" s="6"/>
      <c r="EK36" s="6"/>
      <c r="EM36" s="6"/>
      <c r="EO36" s="6"/>
      <c r="EQ36" s="6"/>
      <c r="ES36" s="6"/>
      <c r="EU36" s="6"/>
      <c r="EW36" s="6"/>
      <c r="EY36" s="6"/>
      <c r="FA36" s="6"/>
      <c r="FC36" s="6"/>
      <c r="FE36" s="6"/>
      <c r="FG36" s="6"/>
      <c r="FI36" s="6"/>
      <c r="FK36" s="6"/>
      <c r="FM36" s="6"/>
      <c r="FO36" s="6"/>
      <c r="FQ36" s="6"/>
      <c r="FS36" s="6"/>
      <c r="FU36" s="6"/>
      <c r="FW36" s="6"/>
      <c r="FY36" s="6"/>
      <c r="GA36" s="6"/>
      <c r="GC36" s="6"/>
      <c r="GE36" s="6"/>
    </row>
    <row r="37" spans="5:187">
      <c r="E37" s="421">
        <v>41274</v>
      </c>
      <c r="F37" s="25">
        <f>'Risk Factors'!F37</f>
        <v>2.3099999999999999E-2</v>
      </c>
      <c r="G37" s="25">
        <f>'Risk Factors'!G37</f>
        <v>1.29E-2</v>
      </c>
      <c r="H37" s="25">
        <f>'Risk Factors'!H37</f>
        <v>3.5200000000000002E-2</v>
      </c>
      <c r="I37" s="25">
        <f>'Risk Factors'!I37</f>
        <v>-1.72E-2</v>
      </c>
      <c r="J37" s="25">
        <f>BMG!F37</f>
        <v>8.3701000000000001E-3</v>
      </c>
      <c r="K37" s="25">
        <f>'Risk Factors'!J37</f>
        <v>1E-4</v>
      </c>
      <c r="L37" s="102"/>
      <c r="M37" s="421">
        <v>41274</v>
      </c>
      <c r="N37" s="25">
        <f>'Risk Factors'!F37</f>
        <v>2.3099999999999999E-2</v>
      </c>
      <c r="O37" s="25">
        <f>'Risk Factors'!M37</f>
        <v>4.0499999999999998E-3</v>
      </c>
      <c r="P37" s="25">
        <f>'Risk Factors'!N37</f>
        <v>5.8300000000000001E-3</v>
      </c>
      <c r="Q37" s="25">
        <f>'Risk Factors'!O37</f>
        <v>7.6899999999999998E-3</v>
      </c>
      <c r="R37" s="25">
        <f>'Risk Factors'!P37</f>
        <v>7.2100000000000003E-3</v>
      </c>
      <c r="S37" s="25">
        <f>'Risk Factors'!R37</f>
        <v>2.085E-2</v>
      </c>
      <c r="T37" s="25">
        <f>'Risk Factors'!S37</f>
        <v>-8.5699999999999995E-3</v>
      </c>
      <c r="U37" s="25">
        <f>BMG!F37</f>
        <v>8.3701000000000001E-3</v>
      </c>
      <c r="V37" s="25"/>
      <c r="W37" s="421">
        <v>41274</v>
      </c>
      <c r="X37" s="25">
        <f>'Risk Factors'!F37</f>
        <v>2.3099999999999999E-2</v>
      </c>
      <c r="Y37" s="25">
        <f>'Risk Factors'!G37</f>
        <v>1.29E-2</v>
      </c>
      <c r="Z37" s="25">
        <f>'Risk Factors'!H37</f>
        <v>3.5200000000000002E-2</v>
      </c>
      <c r="AA37" s="25">
        <f>'Risk Factors'!T37</f>
        <v>-8.6699999999999989E-3</v>
      </c>
      <c r="AB37" s="25">
        <f>'Risk Factors'!U37</f>
        <v>1.502E-2</v>
      </c>
      <c r="AC37" s="25">
        <f>BMG!F37</f>
        <v>8.3701000000000001E-3</v>
      </c>
      <c r="AE37" s="6"/>
      <c r="AG37" s="6"/>
      <c r="AI37" s="6"/>
      <c r="AK37" s="6"/>
      <c r="AM37" s="6"/>
      <c r="AO37" s="6"/>
      <c r="AQ37" s="6"/>
      <c r="AS37" s="6"/>
      <c r="AU37" s="6"/>
      <c r="AW37" s="6"/>
      <c r="AY37" s="6"/>
      <c r="BA37" s="6"/>
      <c r="BC37" s="6"/>
      <c r="BE37" s="6"/>
      <c r="BG37" s="6"/>
      <c r="BI37" s="6"/>
      <c r="BK37" s="6"/>
      <c r="BM37" s="6"/>
      <c r="BO37" s="6"/>
      <c r="BQ37" s="6"/>
      <c r="BS37" s="6"/>
      <c r="BU37" s="6"/>
      <c r="BW37" s="6"/>
      <c r="BY37" s="6"/>
      <c r="CA37" s="6"/>
      <c r="CC37" s="6"/>
      <c r="CE37" s="6"/>
      <c r="CG37" s="6"/>
      <c r="CI37" s="6"/>
      <c r="CK37" s="6"/>
      <c r="CM37" s="6"/>
      <c r="CO37" s="6"/>
      <c r="CQ37" s="6"/>
      <c r="CS37" s="6"/>
      <c r="CU37" s="6"/>
      <c r="CW37" s="6"/>
      <c r="CY37" s="6"/>
      <c r="DA37" s="6"/>
      <c r="DC37" s="6"/>
      <c r="DE37" s="6"/>
      <c r="DG37" s="6"/>
      <c r="DI37" s="6"/>
      <c r="DK37" s="6"/>
      <c r="DM37" s="6"/>
      <c r="DO37" s="6"/>
      <c r="DQ37" s="6"/>
      <c r="DS37" s="6"/>
      <c r="DU37" s="6"/>
      <c r="DW37" s="6"/>
      <c r="DY37" s="6"/>
      <c r="EA37" s="6"/>
      <c r="EC37" s="6"/>
      <c r="EE37" s="6"/>
      <c r="EG37" s="6"/>
      <c r="EI37" s="6"/>
      <c r="EK37" s="6"/>
      <c r="EM37" s="6"/>
      <c r="EO37" s="6"/>
      <c r="EQ37" s="6"/>
      <c r="ES37" s="6"/>
      <c r="EU37" s="6"/>
      <c r="EW37" s="6"/>
      <c r="EY37" s="6"/>
      <c r="FA37" s="6"/>
      <c r="FC37" s="6"/>
      <c r="FE37" s="6"/>
      <c r="FG37" s="6"/>
      <c r="FI37" s="6"/>
      <c r="FK37" s="6"/>
      <c r="FM37" s="6"/>
      <c r="FO37" s="6"/>
      <c r="FQ37" s="6"/>
      <c r="FS37" s="6"/>
      <c r="FU37" s="6"/>
      <c r="FW37" s="6"/>
      <c r="FY37" s="6"/>
      <c r="GA37" s="6"/>
      <c r="GC37" s="6"/>
      <c r="GE37" s="6"/>
    </row>
    <row r="38" spans="5:187">
      <c r="E38" s="421">
        <v>41305</v>
      </c>
      <c r="F38" s="25">
        <f>'Risk Factors'!F38</f>
        <v>5.45E-2</v>
      </c>
      <c r="G38" s="25">
        <f>'Risk Factors'!G38</f>
        <v>2.9999999999999997E-4</v>
      </c>
      <c r="H38" s="25">
        <f>'Risk Factors'!H38</f>
        <v>2.1100000000000001E-2</v>
      </c>
      <c r="I38" s="25">
        <f>'Risk Factors'!I38</f>
        <v>1E-3</v>
      </c>
      <c r="J38" s="25">
        <f>BMG!F38</f>
        <v>-2.4658900000000001E-2</v>
      </c>
      <c r="K38" s="25">
        <f>'Risk Factors'!J38</f>
        <v>0</v>
      </c>
      <c r="L38" s="102"/>
      <c r="M38" s="421">
        <v>41305</v>
      </c>
      <c r="N38" s="25">
        <f>'Risk Factors'!F38</f>
        <v>5.45E-2</v>
      </c>
      <c r="O38" s="25">
        <f>'Risk Factors'!M38</f>
        <v>6.13E-3</v>
      </c>
      <c r="P38" s="25">
        <f>'Risk Factors'!N38</f>
        <v>2.3E-3</v>
      </c>
      <c r="Q38" s="25">
        <f>'Risk Factors'!O38</f>
        <v>-2.1000000000000001E-4</v>
      </c>
      <c r="R38" s="25">
        <f>'Risk Factors'!P38</f>
        <v>-7.3099999999999997E-3</v>
      </c>
      <c r="S38" s="25">
        <f>'Risk Factors'!R38</f>
        <v>1.6080000000000001E-2</v>
      </c>
      <c r="T38" s="25">
        <f>'Risk Factors'!S38</f>
        <v>-1.0410000000000001E-2</v>
      </c>
      <c r="U38" s="25">
        <f>BMG!F38</f>
        <v>-2.4658900000000001E-2</v>
      </c>
      <c r="V38" s="25"/>
      <c r="W38" s="421">
        <v>41305</v>
      </c>
      <c r="X38" s="25">
        <f>'Risk Factors'!F38</f>
        <v>5.45E-2</v>
      </c>
      <c r="Y38" s="25">
        <f>'Risk Factors'!G38</f>
        <v>2.9999999999999997E-4</v>
      </c>
      <c r="Z38" s="25">
        <f>'Risk Factors'!H38</f>
        <v>2.1100000000000001E-2</v>
      </c>
      <c r="AA38" s="25">
        <f>'Risk Factors'!T38</f>
        <v>-1.0410000000000001E-2</v>
      </c>
      <c r="AB38" s="25">
        <f>'Risk Factors'!U38</f>
        <v>1.3780000000000001E-2</v>
      </c>
      <c r="AC38" s="25">
        <f>BMG!F38</f>
        <v>-2.4658900000000001E-2</v>
      </c>
      <c r="AE38" s="6"/>
      <c r="AG38" s="6"/>
      <c r="AI38" s="6"/>
      <c r="AK38" s="6"/>
      <c r="AM38" s="6"/>
      <c r="AO38" s="6"/>
      <c r="AQ38" s="6"/>
      <c r="AS38" s="6"/>
      <c r="AU38" s="6"/>
      <c r="AW38" s="6"/>
      <c r="AY38" s="6"/>
      <c r="BA38" s="6"/>
      <c r="BC38" s="6"/>
      <c r="BE38" s="6"/>
      <c r="BG38" s="6"/>
      <c r="BI38" s="6"/>
      <c r="BK38" s="6"/>
      <c r="BM38" s="6"/>
      <c r="BO38" s="6"/>
      <c r="BQ38" s="6"/>
      <c r="BS38" s="6"/>
      <c r="BU38" s="6"/>
      <c r="BW38" s="6"/>
      <c r="BY38" s="6"/>
      <c r="CA38" s="6"/>
      <c r="CC38" s="6"/>
      <c r="CE38" s="6"/>
      <c r="CG38" s="6"/>
      <c r="CI38" s="6"/>
      <c r="CK38" s="6"/>
      <c r="CM38" s="6"/>
      <c r="CO38" s="6"/>
      <c r="CQ38" s="6"/>
      <c r="CS38" s="6"/>
      <c r="CU38" s="6"/>
      <c r="CW38" s="6"/>
      <c r="CY38" s="6"/>
      <c r="DA38" s="6"/>
      <c r="DC38" s="6"/>
      <c r="DE38" s="6"/>
      <c r="DG38" s="6"/>
      <c r="DI38" s="6"/>
      <c r="DK38" s="6"/>
      <c r="DM38" s="6"/>
      <c r="DO38" s="6"/>
      <c r="DQ38" s="6"/>
      <c r="DS38" s="6"/>
      <c r="DU38" s="6"/>
      <c r="DW38" s="6"/>
      <c r="DY38" s="6"/>
      <c r="EA38" s="6"/>
      <c r="EC38" s="6"/>
      <c r="EE38" s="6"/>
      <c r="EG38" s="6"/>
      <c r="EI38" s="6"/>
      <c r="EK38" s="6"/>
      <c r="EM38" s="6"/>
      <c r="EO38" s="6"/>
      <c r="EQ38" s="6"/>
      <c r="ES38" s="6"/>
      <c r="EU38" s="6"/>
      <c r="EW38" s="6"/>
      <c r="EY38" s="6"/>
      <c r="FA38" s="6"/>
      <c r="FC38" s="6"/>
      <c r="FE38" s="6"/>
      <c r="FG38" s="6"/>
      <c r="FI38" s="6"/>
      <c r="FK38" s="6"/>
      <c r="FM38" s="6"/>
      <c r="FO38" s="6"/>
      <c r="FQ38" s="6"/>
      <c r="FS38" s="6"/>
      <c r="FU38" s="6"/>
      <c r="FW38" s="6"/>
      <c r="FY38" s="6"/>
      <c r="GA38" s="6"/>
      <c r="GC38" s="6"/>
      <c r="GE38" s="6"/>
    </row>
    <row r="39" spans="5:187">
      <c r="E39" s="421">
        <v>41333</v>
      </c>
      <c r="F39" s="25">
        <f>'Risk Factors'!F39</f>
        <v>8.9999999999999998E-4</v>
      </c>
      <c r="G39" s="25">
        <f>'Risk Factors'!G39</f>
        <v>3.2000000000000002E-3</v>
      </c>
      <c r="H39" s="25">
        <f>'Risk Factors'!H39</f>
        <v>-7.1999999999999998E-3</v>
      </c>
      <c r="I39" s="25">
        <f>'Risk Factors'!I39</f>
        <v>3.1199999999999999E-2</v>
      </c>
      <c r="J39" s="25">
        <f>BMG!F39</f>
        <v>-9.1193999999999997E-3</v>
      </c>
      <c r="K39" s="25">
        <f>'Risk Factors'!J39</f>
        <v>0</v>
      </c>
      <c r="L39" s="102"/>
      <c r="M39" s="421">
        <v>41333</v>
      </c>
      <c r="N39" s="25">
        <f>'Risk Factors'!F39</f>
        <v>8.9999999999999998E-4</v>
      </c>
      <c r="O39" s="25">
        <f>'Risk Factors'!M39</f>
        <v>-1.29E-2</v>
      </c>
      <c r="P39" s="25">
        <f>'Risk Factors'!N39</f>
        <v>-7.92E-3</v>
      </c>
      <c r="Q39" s="25">
        <f>'Risk Factors'!O39</f>
        <v>-4.6899999999999997E-3</v>
      </c>
      <c r="R39" s="25">
        <f>'Risk Factors'!P39</f>
        <v>4.2999999999999999E-4</v>
      </c>
      <c r="S39" s="25">
        <f>'Risk Factors'!R39</f>
        <v>-1.9300000000000001E-3</v>
      </c>
      <c r="T39" s="25">
        <f>'Risk Factors'!S39</f>
        <v>-1.132E-2</v>
      </c>
      <c r="U39" s="25">
        <f>BMG!F39</f>
        <v>-9.1193999999999997E-3</v>
      </c>
      <c r="V39" s="25"/>
      <c r="W39" s="421">
        <v>41333</v>
      </c>
      <c r="X39" s="25">
        <f>'Risk Factors'!F39</f>
        <v>8.9999999999999998E-4</v>
      </c>
      <c r="Y39" s="25">
        <f>'Risk Factors'!G39</f>
        <v>3.2000000000000002E-3</v>
      </c>
      <c r="Z39" s="25">
        <f>'Risk Factors'!H39</f>
        <v>-7.1999999999999998E-3</v>
      </c>
      <c r="AA39" s="25">
        <f>'Risk Factors'!T39</f>
        <v>-1.132E-2</v>
      </c>
      <c r="AB39" s="25">
        <f>'Risk Factors'!U39</f>
        <v>5.9899999999999997E-3</v>
      </c>
      <c r="AC39" s="25">
        <f>BMG!F39</f>
        <v>-9.1193999999999997E-3</v>
      </c>
      <c r="AE39" s="6"/>
      <c r="AG39" s="6"/>
      <c r="AI39" s="6"/>
      <c r="AK39" s="6"/>
      <c r="AM39" s="6"/>
      <c r="AO39" s="6"/>
      <c r="AQ39" s="6"/>
      <c r="AS39" s="6"/>
      <c r="AU39" s="6"/>
      <c r="AW39" s="6"/>
      <c r="AY39" s="6"/>
      <c r="BA39" s="6"/>
      <c r="BC39" s="6"/>
      <c r="BE39" s="6"/>
      <c r="BG39" s="6"/>
      <c r="BI39" s="6"/>
      <c r="BK39" s="6"/>
      <c r="BM39" s="6"/>
      <c r="BO39" s="6"/>
      <c r="BQ39" s="6"/>
      <c r="BS39" s="6"/>
      <c r="BU39" s="6"/>
      <c r="BW39" s="6"/>
      <c r="BY39" s="6"/>
      <c r="CA39" s="6"/>
      <c r="CC39" s="6"/>
      <c r="CE39" s="6"/>
      <c r="CG39" s="6"/>
      <c r="CI39" s="6"/>
      <c r="CK39" s="6"/>
      <c r="CM39" s="6"/>
      <c r="CO39" s="6"/>
      <c r="CQ39" s="6"/>
      <c r="CS39" s="6"/>
      <c r="CU39" s="6"/>
      <c r="CW39" s="6"/>
      <c r="CY39" s="6"/>
      <c r="DA39" s="6"/>
      <c r="DC39" s="6"/>
      <c r="DE39" s="6"/>
      <c r="DG39" s="6"/>
      <c r="DI39" s="6"/>
      <c r="DK39" s="6"/>
      <c r="DM39" s="6"/>
      <c r="DO39" s="6"/>
      <c r="DQ39" s="6"/>
      <c r="DS39" s="6"/>
      <c r="DU39" s="6"/>
      <c r="DW39" s="6"/>
      <c r="DY39" s="6"/>
      <c r="EA39" s="6"/>
      <c r="EC39" s="6"/>
      <c r="EE39" s="6"/>
      <c r="EG39" s="6"/>
      <c r="EI39" s="6"/>
      <c r="EK39" s="6"/>
      <c r="EM39" s="6"/>
      <c r="EO39" s="6"/>
      <c r="EQ39" s="6"/>
      <c r="ES39" s="6"/>
      <c r="EU39" s="6"/>
      <c r="EW39" s="6"/>
      <c r="EY39" s="6"/>
      <c r="FA39" s="6"/>
      <c r="FC39" s="6"/>
      <c r="FE39" s="6"/>
      <c r="FG39" s="6"/>
      <c r="FI39" s="6"/>
      <c r="FK39" s="6"/>
      <c r="FM39" s="6"/>
      <c r="FO39" s="6"/>
      <c r="FQ39" s="6"/>
      <c r="FS39" s="6"/>
      <c r="FU39" s="6"/>
      <c r="FW39" s="6"/>
      <c r="FY39" s="6"/>
      <c r="GA39" s="6"/>
      <c r="GC39" s="6"/>
      <c r="GE39" s="6"/>
    </row>
    <row r="40" spans="5:187">
      <c r="E40" s="421">
        <v>41364</v>
      </c>
      <c r="F40" s="25">
        <f>'Risk Factors'!F40</f>
        <v>2.2800000000000001E-2</v>
      </c>
      <c r="G40" s="25">
        <f>'Risk Factors'!G40</f>
        <v>6.8999999999999999E-3</v>
      </c>
      <c r="H40" s="25">
        <f>'Risk Factors'!H40</f>
        <v>-2.01E-2</v>
      </c>
      <c r="I40" s="25">
        <f>'Risk Factors'!I40</f>
        <v>3.6999999999999998E-2</v>
      </c>
      <c r="J40" s="25">
        <f>BMG!F40</f>
        <v>-1.4941899999999999E-2</v>
      </c>
      <c r="K40" s="25">
        <f>'Risk Factors'!J40</f>
        <v>0</v>
      </c>
      <c r="L40" s="102"/>
      <c r="M40" s="421">
        <v>41364</v>
      </c>
      <c r="N40" s="25">
        <f>'Risk Factors'!F40</f>
        <v>2.2800000000000001E-2</v>
      </c>
      <c r="O40" s="25">
        <f>'Risk Factors'!M40</f>
        <v>-4.5100000000000001E-3</v>
      </c>
      <c r="P40" s="25">
        <f>'Risk Factors'!N40</f>
        <v>-2.9099999999999998E-3</v>
      </c>
      <c r="Q40" s="25">
        <f>'Risk Factors'!O40</f>
        <v>-6.8000000000000005E-4</v>
      </c>
      <c r="R40" s="25">
        <f>'Risk Factors'!P40</f>
        <v>1.25E-3</v>
      </c>
      <c r="S40" s="25">
        <f>'Risk Factors'!R40</f>
        <v>5.1799999999999997E-3</v>
      </c>
      <c r="T40" s="25">
        <f>'Risk Factors'!S40</f>
        <v>-6.4700000000000001E-3</v>
      </c>
      <c r="U40" s="25">
        <f>BMG!F40</f>
        <v>-1.4941899999999999E-2</v>
      </c>
      <c r="V40" s="25"/>
      <c r="W40" s="421">
        <v>41364</v>
      </c>
      <c r="X40" s="25">
        <f>'Risk Factors'!F40</f>
        <v>2.2800000000000001E-2</v>
      </c>
      <c r="Y40" s="25">
        <f>'Risk Factors'!G40</f>
        <v>6.8999999999999999E-3</v>
      </c>
      <c r="Z40" s="25">
        <f>'Risk Factors'!H40</f>
        <v>-2.01E-2</v>
      </c>
      <c r="AA40" s="25">
        <f>'Risk Factors'!T40</f>
        <v>-6.4700000000000001E-3</v>
      </c>
      <c r="AB40" s="25">
        <f>'Risk Factors'!U40</f>
        <v>8.09E-3</v>
      </c>
      <c r="AC40" s="25">
        <f>BMG!F40</f>
        <v>-1.4941899999999999E-2</v>
      </c>
      <c r="AE40" s="6"/>
      <c r="AG40" s="6"/>
      <c r="AI40" s="6"/>
      <c r="AK40" s="6"/>
      <c r="AM40" s="6"/>
      <c r="AO40" s="6"/>
      <c r="AQ40" s="6"/>
      <c r="AS40" s="6"/>
      <c r="AU40" s="6"/>
      <c r="AW40" s="6"/>
      <c r="AY40" s="6"/>
      <c r="BA40" s="6"/>
      <c r="BC40" s="6"/>
      <c r="BE40" s="6"/>
      <c r="BG40" s="6"/>
      <c r="BI40" s="6"/>
      <c r="BK40" s="6"/>
      <c r="BM40" s="6"/>
      <c r="BO40" s="6"/>
      <c r="BQ40" s="6"/>
      <c r="BS40" s="6"/>
      <c r="BU40" s="6"/>
      <c r="BW40" s="6"/>
      <c r="BY40" s="6"/>
      <c r="CA40" s="6"/>
      <c r="CC40" s="6"/>
      <c r="CE40" s="6"/>
      <c r="CG40" s="6"/>
      <c r="CI40" s="6"/>
      <c r="CK40" s="6"/>
      <c r="CM40" s="6"/>
      <c r="CO40" s="6"/>
      <c r="CQ40" s="6"/>
      <c r="CS40" s="6"/>
      <c r="CU40" s="6"/>
      <c r="CW40" s="6"/>
      <c r="CY40" s="6"/>
      <c r="DA40" s="6"/>
      <c r="DC40" s="6"/>
      <c r="DE40" s="6"/>
      <c r="DG40" s="6"/>
      <c r="DI40" s="6"/>
      <c r="DK40" s="6"/>
      <c r="DM40" s="6"/>
      <c r="DO40" s="6"/>
      <c r="DQ40" s="6"/>
      <c r="DS40" s="6"/>
      <c r="DU40" s="6"/>
      <c r="DW40" s="6"/>
      <c r="DY40" s="6"/>
      <c r="EA40" s="6"/>
      <c r="EC40" s="6"/>
      <c r="EE40" s="6"/>
      <c r="EG40" s="6"/>
      <c r="EI40" s="6"/>
      <c r="EK40" s="6"/>
      <c r="EM40" s="6"/>
      <c r="EO40" s="6"/>
      <c r="EQ40" s="6"/>
      <c r="ES40" s="6"/>
      <c r="EU40" s="6"/>
      <c r="EW40" s="6"/>
      <c r="EY40" s="6"/>
      <c r="FA40" s="6"/>
      <c r="FC40" s="6"/>
      <c r="FE40" s="6"/>
      <c r="FG40" s="6"/>
      <c r="FI40" s="6"/>
      <c r="FK40" s="6"/>
      <c r="FM40" s="6"/>
      <c r="FO40" s="6"/>
      <c r="FQ40" s="6"/>
      <c r="FS40" s="6"/>
      <c r="FU40" s="6"/>
      <c r="FW40" s="6"/>
      <c r="FY40" s="6"/>
      <c r="GA40" s="6"/>
      <c r="GC40" s="6"/>
      <c r="GE40" s="6"/>
    </row>
    <row r="41" spans="5:187">
      <c r="E41" s="421">
        <v>41394</v>
      </c>
      <c r="F41" s="25">
        <f>'Risk Factors'!F41</f>
        <v>3.0099999999999998E-2</v>
      </c>
      <c r="G41" s="25">
        <f>'Risk Factors'!G41</f>
        <v>-1.32E-2</v>
      </c>
      <c r="H41" s="25">
        <f>'Risk Factors'!H41</f>
        <v>1.0500000000000001E-2</v>
      </c>
      <c r="I41" s="25">
        <f>'Risk Factors'!I41</f>
        <v>2.98E-2</v>
      </c>
      <c r="J41" s="25">
        <f>BMG!F41</f>
        <v>-2.8190400000000001E-2</v>
      </c>
      <c r="K41" s="25">
        <f>'Risk Factors'!J41</f>
        <v>0</v>
      </c>
      <c r="L41" s="102"/>
      <c r="M41" s="421">
        <v>41394</v>
      </c>
      <c r="N41" s="25">
        <f>'Risk Factors'!F41</f>
        <v>3.0099999999999998E-2</v>
      </c>
      <c r="O41" s="25">
        <f>'Risk Factors'!M41</f>
        <v>1.115E-2</v>
      </c>
      <c r="P41" s="25">
        <f>'Risk Factors'!N41</f>
        <v>1.6209999999999999E-2</v>
      </c>
      <c r="Q41" s="25">
        <f>'Risk Factors'!O41</f>
        <v>2.1610000000000001E-2</v>
      </c>
      <c r="R41" s="25">
        <f>'Risk Factors'!P41</f>
        <v>2.7E-2</v>
      </c>
      <c r="S41" s="25">
        <f>'Risk Factors'!R41</f>
        <v>2.3130000000000001E-2</v>
      </c>
      <c r="T41" s="25">
        <f>'Risk Factors'!S41</f>
        <v>6.4799999999999996E-3</v>
      </c>
      <c r="U41" s="25">
        <f>BMG!F41</f>
        <v>-2.8190400000000001E-2</v>
      </c>
      <c r="V41" s="25"/>
      <c r="W41" s="421">
        <v>41394</v>
      </c>
      <c r="X41" s="25">
        <f>'Risk Factors'!F41</f>
        <v>3.0099999999999998E-2</v>
      </c>
      <c r="Y41" s="25">
        <f>'Risk Factors'!G41</f>
        <v>-1.32E-2</v>
      </c>
      <c r="Z41" s="25">
        <f>'Risk Factors'!H41</f>
        <v>1.0500000000000001E-2</v>
      </c>
      <c r="AA41" s="25">
        <f>'Risk Factors'!T41</f>
        <v>6.4799999999999996E-3</v>
      </c>
      <c r="AB41" s="25">
        <f>'Risk Factors'!U41</f>
        <v>6.9200000000000025E-3</v>
      </c>
      <c r="AC41" s="25">
        <f>BMG!F41</f>
        <v>-2.8190400000000001E-2</v>
      </c>
      <c r="AE41" s="6"/>
      <c r="AG41" s="6"/>
      <c r="AI41" s="6"/>
      <c r="AK41" s="6"/>
      <c r="AM41" s="6"/>
      <c r="AO41" s="6"/>
      <c r="AQ41" s="6"/>
      <c r="AS41" s="6"/>
      <c r="AU41" s="6"/>
      <c r="AW41" s="6"/>
      <c r="AY41" s="6"/>
      <c r="BA41" s="6"/>
      <c r="BC41" s="6"/>
      <c r="BE41" s="6"/>
      <c r="BG41" s="6"/>
      <c r="BI41" s="6"/>
      <c r="BK41" s="6"/>
      <c r="BM41" s="6"/>
      <c r="BO41" s="6"/>
      <c r="BQ41" s="6"/>
      <c r="BS41" s="6"/>
      <c r="BU41" s="6"/>
      <c r="BW41" s="6"/>
      <c r="BY41" s="6"/>
      <c r="CA41" s="6"/>
      <c r="CC41" s="6"/>
      <c r="CE41" s="6"/>
      <c r="CG41" s="6"/>
      <c r="CI41" s="6"/>
      <c r="CK41" s="6"/>
      <c r="CM41" s="6"/>
      <c r="CO41" s="6"/>
      <c r="CQ41" s="6"/>
      <c r="CS41" s="6"/>
      <c r="CU41" s="6"/>
      <c r="CW41" s="6"/>
      <c r="CY41" s="6"/>
      <c r="DA41" s="6"/>
      <c r="DC41" s="6"/>
      <c r="DE41" s="6"/>
      <c r="DG41" s="6"/>
      <c r="DI41" s="6"/>
      <c r="DK41" s="6"/>
      <c r="DM41" s="6"/>
      <c r="DO41" s="6"/>
      <c r="DQ41" s="6"/>
      <c r="DS41" s="6"/>
      <c r="DU41" s="6"/>
      <c r="DW41" s="6"/>
      <c r="DY41" s="6"/>
      <c r="EA41" s="6"/>
      <c r="EC41" s="6"/>
      <c r="EE41" s="6"/>
      <c r="EG41" s="6"/>
      <c r="EI41" s="6"/>
      <c r="EK41" s="6"/>
      <c r="EM41" s="6"/>
      <c r="EO41" s="6"/>
      <c r="EQ41" s="6"/>
      <c r="ES41" s="6"/>
      <c r="EU41" s="6"/>
      <c r="EW41" s="6"/>
      <c r="EY41" s="6"/>
      <c r="FA41" s="6"/>
      <c r="FC41" s="6"/>
      <c r="FE41" s="6"/>
      <c r="FG41" s="6"/>
      <c r="FI41" s="6"/>
      <c r="FK41" s="6"/>
      <c r="FM41" s="6"/>
      <c r="FO41" s="6"/>
      <c r="FQ41" s="6"/>
      <c r="FS41" s="6"/>
      <c r="FU41" s="6"/>
      <c r="FW41" s="6"/>
      <c r="FY41" s="6"/>
      <c r="GA41" s="6"/>
      <c r="GC41" s="6"/>
      <c r="GE41" s="6"/>
    </row>
    <row r="42" spans="5:187">
      <c r="E42" s="421">
        <v>41425</v>
      </c>
      <c r="F42" s="25">
        <f>'Risk Factors'!F42</f>
        <v>5.4999999999999997E-3</v>
      </c>
      <c r="G42" s="25">
        <f>'Risk Factors'!G42</f>
        <v>-6.3E-3</v>
      </c>
      <c r="H42" s="25">
        <f>'Risk Factors'!H42</f>
        <v>1.01E-2</v>
      </c>
      <c r="I42" s="25">
        <f>'Risk Factors'!I42</f>
        <v>-1.4200000000000001E-2</v>
      </c>
      <c r="J42" s="25">
        <f>BMG!F42</f>
        <v>-2.2830300000000001E-2</v>
      </c>
      <c r="K42" s="25">
        <f>'Risk Factors'!J42</f>
        <v>0</v>
      </c>
      <c r="L42" s="102"/>
      <c r="M42" s="421">
        <v>41425</v>
      </c>
      <c r="N42" s="25">
        <f>'Risk Factors'!F42</f>
        <v>5.4999999999999997E-3</v>
      </c>
      <c r="O42" s="25">
        <f>'Risk Factors'!M42</f>
        <v>-1.1769999999999999E-2</v>
      </c>
      <c r="P42" s="25">
        <f>'Risk Factors'!N42</f>
        <v>-1.601E-2</v>
      </c>
      <c r="Q42" s="25">
        <f>'Risk Factors'!O42</f>
        <v>-2.0250000000000001E-2</v>
      </c>
      <c r="R42" s="25">
        <f>'Risk Factors'!P42</f>
        <v>-3.04E-2</v>
      </c>
      <c r="S42" s="25">
        <f>'Risk Factors'!R42</f>
        <v>-8.5900000000000004E-3</v>
      </c>
      <c r="T42" s="25">
        <f>'Risk Factors'!S42</f>
        <v>-2.63E-2</v>
      </c>
      <c r="U42" s="25">
        <f>BMG!F42</f>
        <v>-2.2830300000000001E-2</v>
      </c>
      <c r="V42" s="25"/>
      <c r="W42" s="421">
        <v>41425</v>
      </c>
      <c r="X42" s="25">
        <f>'Risk Factors'!F42</f>
        <v>5.4999999999999997E-3</v>
      </c>
      <c r="Y42" s="25">
        <f>'Risk Factors'!G42</f>
        <v>-6.3E-3</v>
      </c>
      <c r="Z42" s="25">
        <f>'Risk Factors'!H42</f>
        <v>1.01E-2</v>
      </c>
      <c r="AA42" s="25">
        <f>'Risk Factors'!T42</f>
        <v>-2.63E-2</v>
      </c>
      <c r="AB42" s="25">
        <f>'Risk Factors'!U42</f>
        <v>7.4199999999999995E-3</v>
      </c>
      <c r="AC42" s="25">
        <f>BMG!F42</f>
        <v>-2.2830300000000001E-2</v>
      </c>
      <c r="AE42" s="6"/>
      <c r="AG42" s="6"/>
      <c r="AI42" s="6"/>
      <c r="AK42" s="6"/>
      <c r="AM42" s="6"/>
      <c r="AO42" s="6"/>
      <c r="AQ42" s="6"/>
      <c r="AS42" s="6"/>
      <c r="AU42" s="6"/>
      <c r="AW42" s="6"/>
      <c r="AY42" s="6"/>
      <c r="BA42" s="6"/>
      <c r="BC42" s="6"/>
      <c r="BE42" s="6"/>
      <c r="BG42" s="6"/>
      <c r="BI42" s="6"/>
      <c r="BK42" s="6"/>
      <c r="BM42" s="6"/>
      <c r="BO42" s="6"/>
      <c r="BQ42" s="6"/>
      <c r="BS42" s="6"/>
      <c r="BU42" s="6"/>
      <c r="BW42" s="6"/>
      <c r="BY42" s="6"/>
      <c r="CA42" s="6"/>
      <c r="CC42" s="6"/>
      <c r="CE42" s="6"/>
      <c r="CG42" s="6"/>
      <c r="CI42" s="6"/>
      <c r="CK42" s="6"/>
      <c r="CM42" s="6"/>
      <c r="CO42" s="6"/>
      <c r="CQ42" s="6"/>
      <c r="CS42" s="6"/>
      <c r="CU42" s="6"/>
      <c r="CW42" s="6"/>
      <c r="CY42" s="6"/>
      <c r="DA42" s="6"/>
      <c r="DC42" s="6"/>
      <c r="DE42" s="6"/>
      <c r="DG42" s="6"/>
      <c r="DI42" s="6"/>
      <c r="DK42" s="6"/>
      <c r="DM42" s="6"/>
      <c r="DO42" s="6"/>
      <c r="DQ42" s="6"/>
      <c r="DS42" s="6"/>
      <c r="DU42" s="6"/>
      <c r="DW42" s="6"/>
      <c r="DY42" s="6"/>
      <c r="EA42" s="6"/>
      <c r="EC42" s="6"/>
      <c r="EE42" s="6"/>
      <c r="EG42" s="6"/>
      <c r="EI42" s="6"/>
      <c r="EK42" s="6"/>
      <c r="EM42" s="6"/>
      <c r="EO42" s="6"/>
      <c r="EQ42" s="6"/>
      <c r="ES42" s="6"/>
      <c r="EU42" s="6"/>
      <c r="EW42" s="6"/>
      <c r="EY42" s="6"/>
      <c r="FA42" s="6"/>
      <c r="FC42" s="6"/>
      <c r="FE42" s="6"/>
      <c r="FG42" s="6"/>
      <c r="FI42" s="6"/>
      <c r="FK42" s="6"/>
      <c r="FM42" s="6"/>
      <c r="FO42" s="6"/>
      <c r="FQ42" s="6"/>
      <c r="FS42" s="6"/>
      <c r="FU42" s="6"/>
      <c r="FW42" s="6"/>
      <c r="FY42" s="6"/>
      <c r="GA42" s="6"/>
      <c r="GC42" s="6"/>
      <c r="GE42" s="6"/>
    </row>
    <row r="43" spans="5:187">
      <c r="E43" s="421">
        <v>41455</v>
      </c>
      <c r="F43" s="25">
        <f>'Risk Factors'!F43</f>
        <v>-2.5100000000000001E-2</v>
      </c>
      <c r="G43" s="25">
        <f>'Risk Factors'!G43</f>
        <v>4.4000000000000003E-3</v>
      </c>
      <c r="H43" s="25">
        <f>'Risk Factors'!H43</f>
        <v>-2.3999999999999998E-3</v>
      </c>
      <c r="I43" s="25">
        <f>'Risk Factors'!I43</f>
        <v>1.01E-2</v>
      </c>
      <c r="J43" s="25">
        <f>BMG!F43</f>
        <v>-1.8110299999999999E-2</v>
      </c>
      <c r="K43" s="25">
        <f>'Risk Factors'!J43</f>
        <v>0</v>
      </c>
      <c r="L43" s="102"/>
      <c r="M43" s="421">
        <v>41455</v>
      </c>
      <c r="N43" s="25">
        <f>'Risk Factors'!F43</f>
        <v>-2.5100000000000001E-2</v>
      </c>
      <c r="O43" s="25">
        <f>'Risk Factors'!M43</f>
        <v>-3.7499999999999999E-3</v>
      </c>
      <c r="P43" s="25">
        <f>'Risk Factors'!N43</f>
        <v>-1.461E-2</v>
      </c>
      <c r="Q43" s="25">
        <f>'Risk Factors'!O43</f>
        <v>-2.4080000000000001E-2</v>
      </c>
      <c r="R43" s="25">
        <f>'Risk Factors'!P43</f>
        <v>-3.4180000000000002E-2</v>
      </c>
      <c r="S43" s="25">
        <f>'Risk Factors'!R43</f>
        <v>-2.726E-2</v>
      </c>
      <c r="T43" s="25">
        <f>'Risk Factors'!S43</f>
        <v>-3.62E-3</v>
      </c>
      <c r="U43" s="25">
        <f>BMG!F43</f>
        <v>-1.8110299999999999E-2</v>
      </c>
      <c r="V43" s="25"/>
      <c r="W43" s="421">
        <v>41455</v>
      </c>
      <c r="X43" s="25">
        <f>'Risk Factors'!F43</f>
        <v>-2.5100000000000001E-2</v>
      </c>
      <c r="Y43" s="25">
        <f>'Risk Factors'!G43</f>
        <v>4.4000000000000003E-3</v>
      </c>
      <c r="Z43" s="25">
        <f>'Risk Factors'!H43</f>
        <v>-2.3999999999999998E-3</v>
      </c>
      <c r="AA43" s="25">
        <f>'Risk Factors'!T43</f>
        <v>-3.62E-3</v>
      </c>
      <c r="AB43" s="25">
        <f>'Risk Factors'!U43</f>
        <v>-1.265E-2</v>
      </c>
      <c r="AC43" s="25">
        <f>BMG!F43</f>
        <v>-1.8110299999999999E-2</v>
      </c>
      <c r="AE43" s="6"/>
      <c r="AG43" s="6"/>
      <c r="AI43" s="6"/>
      <c r="AK43" s="6"/>
      <c r="AM43" s="6"/>
      <c r="AO43" s="6"/>
      <c r="AQ43" s="6"/>
      <c r="AS43" s="6"/>
      <c r="AU43" s="6"/>
      <c r="AW43" s="6"/>
      <c r="AY43" s="6"/>
      <c r="BA43" s="6"/>
      <c r="BC43" s="6"/>
      <c r="BE43" s="6"/>
      <c r="BG43" s="6"/>
      <c r="BI43" s="6"/>
      <c r="BK43" s="6"/>
      <c r="BM43" s="6"/>
      <c r="BO43" s="6"/>
      <c r="BQ43" s="6"/>
      <c r="BS43" s="6"/>
      <c r="BU43" s="6"/>
      <c r="BW43" s="6"/>
      <c r="BY43" s="6"/>
      <c r="CA43" s="6"/>
      <c r="CC43" s="6"/>
      <c r="CE43" s="6"/>
      <c r="CG43" s="6"/>
      <c r="CI43" s="6"/>
      <c r="CK43" s="6"/>
      <c r="CM43" s="6"/>
      <c r="CO43" s="6"/>
      <c r="CQ43" s="6"/>
      <c r="CS43" s="6"/>
      <c r="CU43" s="6"/>
      <c r="CW43" s="6"/>
      <c r="CY43" s="6"/>
      <c r="DA43" s="6"/>
      <c r="DC43" s="6"/>
      <c r="DE43" s="6"/>
      <c r="DG43" s="6"/>
      <c r="DI43" s="6"/>
      <c r="DK43" s="6"/>
      <c r="DM43" s="6"/>
      <c r="DO43" s="6"/>
      <c r="DQ43" s="6"/>
      <c r="DS43" s="6"/>
      <c r="DU43" s="6"/>
      <c r="DW43" s="6"/>
      <c r="DY43" s="6"/>
      <c r="EA43" s="6"/>
      <c r="EC43" s="6"/>
      <c r="EE43" s="6"/>
      <c r="EG43" s="6"/>
      <c r="EI43" s="6"/>
      <c r="EK43" s="6"/>
      <c r="EM43" s="6"/>
      <c r="EO43" s="6"/>
      <c r="EQ43" s="6"/>
      <c r="ES43" s="6"/>
      <c r="EU43" s="6"/>
      <c r="EW43" s="6"/>
      <c r="EY43" s="6"/>
      <c r="FA43" s="6"/>
      <c r="FC43" s="6"/>
      <c r="FE43" s="6"/>
      <c r="FG43" s="6"/>
      <c r="FI43" s="6"/>
      <c r="FK43" s="6"/>
      <c r="FM43" s="6"/>
      <c r="FO43" s="6"/>
      <c r="FQ43" s="6"/>
      <c r="FS43" s="6"/>
      <c r="FU43" s="6"/>
      <c r="FW43" s="6"/>
      <c r="FY43" s="6"/>
      <c r="GA43" s="6"/>
      <c r="GC43" s="6"/>
      <c r="GE43" s="6"/>
    </row>
    <row r="44" spans="5:187">
      <c r="E44" s="421">
        <v>41486</v>
      </c>
      <c r="F44" s="25">
        <f>'Risk Factors'!F44</f>
        <v>5.57E-2</v>
      </c>
      <c r="G44" s="25">
        <f>'Risk Factors'!G44</f>
        <v>1E-4</v>
      </c>
      <c r="H44" s="25">
        <f>'Risk Factors'!H44</f>
        <v>4.3E-3</v>
      </c>
      <c r="I44" s="25">
        <f>'Risk Factors'!I44</f>
        <v>1.61E-2</v>
      </c>
      <c r="J44" s="25">
        <f>BMG!F44</f>
        <v>-4.3425E-3</v>
      </c>
      <c r="K44" s="25">
        <f>'Risk Factors'!J44</f>
        <v>0</v>
      </c>
      <c r="L44" s="102"/>
      <c r="M44" s="421">
        <v>41486</v>
      </c>
      <c r="N44" s="25">
        <f>'Risk Factors'!F44</f>
        <v>5.57E-2</v>
      </c>
      <c r="O44" s="25">
        <f>'Risk Factors'!M44</f>
        <v>1.277E-2</v>
      </c>
      <c r="P44" s="25">
        <f>'Risk Factors'!N44</f>
        <v>1.67E-2</v>
      </c>
      <c r="Q44" s="25">
        <f>'Risk Factors'!O44</f>
        <v>1.7930000000000001E-2</v>
      </c>
      <c r="R44" s="25">
        <f>'Risk Factors'!P44</f>
        <v>1.4590000000000001E-2</v>
      </c>
      <c r="S44" s="25">
        <f>'Risk Factors'!R44</f>
        <v>2.1950000000000001E-2</v>
      </c>
      <c r="T44" s="25">
        <f>'Risk Factors'!S44</f>
        <v>1.2699999999999999E-2</v>
      </c>
      <c r="U44" s="25">
        <f>BMG!F44</f>
        <v>-4.3425E-3</v>
      </c>
      <c r="V44" s="25"/>
      <c r="W44" s="421">
        <v>41486</v>
      </c>
      <c r="X44" s="25">
        <f>'Risk Factors'!F44</f>
        <v>5.57E-2</v>
      </c>
      <c r="Y44" s="25">
        <f>'Risk Factors'!G44</f>
        <v>1E-4</v>
      </c>
      <c r="Z44" s="25">
        <f>'Risk Factors'!H44</f>
        <v>4.3E-3</v>
      </c>
      <c r="AA44" s="25">
        <f>'Risk Factors'!T44</f>
        <v>1.2699999999999999E-2</v>
      </c>
      <c r="AB44" s="25">
        <f>'Risk Factors'!U44</f>
        <v>5.2500000000000012E-3</v>
      </c>
      <c r="AC44" s="25">
        <f>BMG!F44</f>
        <v>-4.3425E-3</v>
      </c>
      <c r="AE44" s="6"/>
      <c r="AG44" s="6"/>
      <c r="AI44" s="6"/>
      <c r="AK44" s="6"/>
      <c r="AM44" s="6"/>
      <c r="AO44" s="6"/>
      <c r="AQ44" s="6"/>
      <c r="AS44" s="6"/>
      <c r="AU44" s="6"/>
      <c r="AW44" s="6"/>
      <c r="AY44" s="6"/>
      <c r="BA44" s="6"/>
      <c r="BC44" s="6"/>
      <c r="BE44" s="6"/>
      <c r="BG44" s="6"/>
      <c r="BI44" s="6"/>
      <c r="BK44" s="6"/>
      <c r="BM44" s="6"/>
      <c r="BO44" s="6"/>
      <c r="BQ44" s="6"/>
      <c r="BS44" s="6"/>
      <c r="BU44" s="6"/>
      <c r="BW44" s="6"/>
      <c r="BY44" s="6"/>
      <c r="CA44" s="6"/>
      <c r="CC44" s="6"/>
      <c r="CE44" s="6"/>
      <c r="CG44" s="6"/>
      <c r="CI44" s="6"/>
      <c r="CK44" s="6"/>
      <c r="CM44" s="6"/>
      <c r="CO44" s="6"/>
      <c r="CQ44" s="6"/>
      <c r="CS44" s="6"/>
      <c r="CU44" s="6"/>
      <c r="CW44" s="6"/>
      <c r="CY44" s="6"/>
      <c r="DA44" s="6"/>
      <c r="DC44" s="6"/>
      <c r="DE44" s="6"/>
      <c r="DG44" s="6"/>
      <c r="DI44" s="6"/>
      <c r="DK44" s="6"/>
      <c r="DM44" s="6"/>
      <c r="DO44" s="6"/>
      <c r="DQ44" s="6"/>
      <c r="DS44" s="6"/>
      <c r="DU44" s="6"/>
      <c r="DW44" s="6"/>
      <c r="DY44" s="6"/>
      <c r="EA44" s="6"/>
      <c r="EC44" s="6"/>
      <c r="EE44" s="6"/>
      <c r="EG44" s="6"/>
      <c r="EI44" s="6"/>
      <c r="EK44" s="6"/>
      <c r="EM44" s="6"/>
      <c r="EO44" s="6"/>
      <c r="EQ44" s="6"/>
      <c r="ES44" s="6"/>
      <c r="EU44" s="6"/>
      <c r="EW44" s="6"/>
      <c r="EY44" s="6"/>
      <c r="FA44" s="6"/>
      <c r="FC44" s="6"/>
      <c r="FE44" s="6"/>
      <c r="FG44" s="6"/>
      <c r="FI44" s="6"/>
      <c r="FK44" s="6"/>
      <c r="FM44" s="6"/>
      <c r="FO44" s="6"/>
      <c r="FQ44" s="6"/>
      <c r="FS44" s="6"/>
      <c r="FU44" s="6"/>
      <c r="FW44" s="6"/>
      <c r="FY44" s="6"/>
      <c r="GA44" s="6"/>
      <c r="GC44" s="6"/>
      <c r="GE44" s="6"/>
    </row>
    <row r="45" spans="5:187">
      <c r="E45" s="421">
        <v>41517</v>
      </c>
      <c r="F45" s="25">
        <f>'Risk Factors'!F45</f>
        <v>-1.8200000000000001E-2</v>
      </c>
      <c r="G45" s="25">
        <f>'Risk Factors'!G45</f>
        <v>1.29E-2</v>
      </c>
      <c r="H45" s="25">
        <f>'Risk Factors'!H45</f>
        <v>-6.8999999999999999E-3</v>
      </c>
      <c r="I45" s="25">
        <f>'Risk Factors'!I45</f>
        <v>-1.2800000000000001E-2</v>
      </c>
      <c r="J45" s="25">
        <f>BMG!F45</f>
        <v>7.2348999999999998E-3</v>
      </c>
      <c r="K45" s="25">
        <f>'Risk Factors'!J45</f>
        <v>0</v>
      </c>
      <c r="L45" s="102"/>
      <c r="M45" s="421">
        <v>41517</v>
      </c>
      <c r="N45" s="25">
        <f>'Risk Factors'!F45</f>
        <v>-1.8200000000000001E-2</v>
      </c>
      <c r="O45" s="25">
        <f>'Risk Factors'!M45</f>
        <v>-2.4499999999999999E-3</v>
      </c>
      <c r="P45" s="25">
        <f>'Risk Factors'!N45</f>
        <v>-4.7999999999999996E-3</v>
      </c>
      <c r="Q45" s="25">
        <f>'Risk Factors'!O45</f>
        <v>-7.4799999999999997E-3</v>
      </c>
      <c r="R45" s="25">
        <f>'Risk Factors'!P45</f>
        <v>-1.154E-2</v>
      </c>
      <c r="S45" s="25">
        <f>'Risk Factors'!R45</f>
        <v>-5.8700000000000002E-3</v>
      </c>
      <c r="T45" s="25">
        <f>'Risk Factors'!S45</f>
        <v>-3.7000000000000002E-3</v>
      </c>
      <c r="U45" s="25">
        <f>BMG!F45</f>
        <v>7.2348999999999998E-3</v>
      </c>
      <c r="V45" s="25"/>
      <c r="W45" s="421">
        <v>41517</v>
      </c>
      <c r="X45" s="25">
        <f>'Risk Factors'!F45</f>
        <v>-1.8200000000000001E-2</v>
      </c>
      <c r="Y45" s="25">
        <f>'Risk Factors'!G45</f>
        <v>1.29E-2</v>
      </c>
      <c r="Z45" s="25">
        <f>'Risk Factors'!H45</f>
        <v>-6.8999999999999999E-3</v>
      </c>
      <c r="AA45" s="25">
        <f>'Risk Factors'!T45</f>
        <v>-3.7000000000000002E-3</v>
      </c>
      <c r="AB45" s="25">
        <f>'Risk Factors'!U45</f>
        <v>-1.0700000000000006E-3</v>
      </c>
      <c r="AC45" s="25">
        <f>BMG!F45</f>
        <v>7.2348999999999998E-3</v>
      </c>
      <c r="AE45" s="6"/>
      <c r="AG45" s="6"/>
      <c r="AI45" s="6"/>
      <c r="AK45" s="6"/>
      <c r="AM45" s="6"/>
      <c r="AO45" s="6"/>
      <c r="AQ45" s="6"/>
      <c r="AS45" s="6"/>
      <c r="AU45" s="6"/>
      <c r="AW45" s="6"/>
      <c r="AY45" s="6"/>
      <c r="BA45" s="6"/>
      <c r="BC45" s="6"/>
      <c r="BE45" s="6"/>
      <c r="BG45" s="6"/>
      <c r="BI45" s="6"/>
      <c r="BK45" s="6"/>
      <c r="BM45" s="6"/>
      <c r="BO45" s="6"/>
      <c r="BQ45" s="6"/>
      <c r="BS45" s="6"/>
      <c r="BU45" s="6"/>
      <c r="BW45" s="6"/>
      <c r="BY45" s="6"/>
      <c r="CA45" s="6"/>
      <c r="CC45" s="6"/>
      <c r="CE45" s="6"/>
      <c r="CG45" s="6"/>
      <c r="CI45" s="6"/>
      <c r="CK45" s="6"/>
      <c r="CM45" s="6"/>
      <c r="CO45" s="6"/>
      <c r="CQ45" s="6"/>
      <c r="CS45" s="6"/>
      <c r="CU45" s="6"/>
      <c r="CW45" s="6"/>
      <c r="CY45" s="6"/>
      <c r="DA45" s="6"/>
      <c r="DC45" s="6"/>
      <c r="DE45" s="6"/>
      <c r="DG45" s="6"/>
      <c r="DI45" s="6"/>
      <c r="DK45" s="6"/>
      <c r="DM45" s="6"/>
      <c r="DO45" s="6"/>
      <c r="DQ45" s="6"/>
      <c r="DS45" s="6"/>
      <c r="DU45" s="6"/>
      <c r="DW45" s="6"/>
      <c r="DY45" s="6"/>
      <c r="EA45" s="6"/>
      <c r="EC45" s="6"/>
      <c r="EE45" s="6"/>
      <c r="EG45" s="6"/>
      <c r="EI45" s="6"/>
      <c r="EK45" s="6"/>
      <c r="EM45" s="6"/>
      <c r="EO45" s="6"/>
      <c r="EQ45" s="6"/>
      <c r="ES45" s="6"/>
      <c r="EU45" s="6"/>
      <c r="EW45" s="6"/>
      <c r="EY45" s="6"/>
      <c r="FA45" s="6"/>
      <c r="FC45" s="6"/>
      <c r="FE45" s="6"/>
      <c r="FG45" s="6"/>
      <c r="FI45" s="6"/>
      <c r="FK45" s="6"/>
      <c r="FM45" s="6"/>
      <c r="FO45" s="6"/>
      <c r="FQ45" s="6"/>
      <c r="FS45" s="6"/>
      <c r="FU45" s="6"/>
      <c r="FW45" s="6"/>
      <c r="FY45" s="6"/>
      <c r="GA45" s="6"/>
      <c r="GC45" s="6"/>
      <c r="GE45" s="6"/>
    </row>
    <row r="46" spans="5:187">
      <c r="E46" s="421">
        <v>41547</v>
      </c>
      <c r="F46" s="25">
        <f>'Risk Factors'!F46</f>
        <v>5.5E-2</v>
      </c>
      <c r="G46" s="25">
        <f>'Risk Factors'!G46</f>
        <v>2.0400000000000001E-2</v>
      </c>
      <c r="H46" s="25">
        <f>'Risk Factors'!H46</f>
        <v>-3.3999999999999998E-3</v>
      </c>
      <c r="I46" s="25">
        <f>'Risk Factors'!I46</f>
        <v>3.2399999999999998E-2</v>
      </c>
      <c r="J46" s="25">
        <f>BMG!F46</f>
        <v>-1.92757E-2</v>
      </c>
      <c r="K46" s="25">
        <f>'Risk Factors'!J46</f>
        <v>0</v>
      </c>
      <c r="L46" s="102"/>
      <c r="M46" s="421">
        <v>41547</v>
      </c>
      <c r="N46" s="25">
        <f>'Risk Factors'!F46</f>
        <v>5.5E-2</v>
      </c>
      <c r="O46" s="25">
        <f>'Risk Factors'!M46</f>
        <v>1.559E-2</v>
      </c>
      <c r="P46" s="25">
        <f>'Risk Factors'!N46</f>
        <v>2.0500000000000001E-2</v>
      </c>
      <c r="Q46" s="25">
        <f>'Risk Factors'!O46</f>
        <v>2.4369999999999999E-2</v>
      </c>
      <c r="R46" s="25">
        <f>'Risk Factors'!P46</f>
        <v>2.1909999999999999E-2</v>
      </c>
      <c r="S46" s="25">
        <f>'Risk Factors'!R46</f>
        <v>1.7680000000000001E-2</v>
      </c>
      <c r="T46" s="25">
        <f>'Risk Factors'!S46</f>
        <v>1.7149999999999999E-2</v>
      </c>
      <c r="U46" s="25">
        <f>BMG!F46</f>
        <v>-1.92757E-2</v>
      </c>
      <c r="V46" s="25"/>
      <c r="W46" s="421">
        <v>41547</v>
      </c>
      <c r="X46" s="25">
        <f>'Risk Factors'!F46</f>
        <v>5.5E-2</v>
      </c>
      <c r="Y46" s="25">
        <f>'Risk Factors'!G46</f>
        <v>2.0400000000000001E-2</v>
      </c>
      <c r="Z46" s="25">
        <f>'Risk Factors'!H46</f>
        <v>-3.3999999999999998E-3</v>
      </c>
      <c r="AA46" s="25">
        <f>'Risk Factors'!T46</f>
        <v>1.7149999999999999E-2</v>
      </c>
      <c r="AB46" s="25">
        <f>'Risk Factors'!U46</f>
        <v>-2.8199999999999996E-3</v>
      </c>
      <c r="AC46" s="25">
        <f>BMG!F46</f>
        <v>-1.92757E-2</v>
      </c>
      <c r="AE46" s="6"/>
      <c r="AG46" s="6"/>
      <c r="AI46" s="6"/>
      <c r="AK46" s="6"/>
      <c r="AM46" s="6"/>
      <c r="AO46" s="6"/>
      <c r="AQ46" s="6"/>
      <c r="AS46" s="6"/>
      <c r="AU46" s="6"/>
      <c r="AW46" s="6"/>
      <c r="AY46" s="6"/>
      <c r="BA46" s="6"/>
      <c r="BC46" s="6"/>
      <c r="BE46" s="6"/>
      <c r="BG46" s="6"/>
      <c r="BI46" s="6"/>
      <c r="BK46" s="6"/>
      <c r="BM46" s="6"/>
      <c r="BO46" s="6"/>
      <c r="BQ46" s="6"/>
      <c r="BS46" s="6"/>
      <c r="BU46" s="6"/>
      <c r="BW46" s="6"/>
      <c r="BY46" s="6"/>
      <c r="CA46" s="6"/>
      <c r="CC46" s="6"/>
      <c r="CE46" s="6"/>
      <c r="CG46" s="6"/>
      <c r="CI46" s="6"/>
      <c r="CK46" s="6"/>
      <c r="CM46" s="6"/>
      <c r="CO46" s="6"/>
      <c r="CQ46" s="6"/>
      <c r="CS46" s="6"/>
      <c r="CU46" s="6"/>
      <c r="CW46" s="6"/>
      <c r="CY46" s="6"/>
      <c r="DA46" s="6"/>
      <c r="DC46" s="6"/>
      <c r="DE46" s="6"/>
      <c r="DG46" s="6"/>
      <c r="DI46" s="6"/>
      <c r="DK46" s="6"/>
      <c r="DM46" s="6"/>
      <c r="DO46" s="6"/>
      <c r="DQ46" s="6"/>
      <c r="DS46" s="6"/>
      <c r="DU46" s="6"/>
      <c r="DW46" s="6"/>
      <c r="DY46" s="6"/>
      <c r="EA46" s="6"/>
      <c r="EC46" s="6"/>
      <c r="EE46" s="6"/>
      <c r="EG46" s="6"/>
      <c r="EI46" s="6"/>
      <c r="EK46" s="6"/>
      <c r="EM46" s="6"/>
      <c r="EO46" s="6"/>
      <c r="EQ46" s="6"/>
      <c r="ES46" s="6"/>
      <c r="EU46" s="6"/>
      <c r="EW46" s="6"/>
      <c r="EY46" s="6"/>
      <c r="FA46" s="6"/>
      <c r="FC46" s="6"/>
      <c r="FE46" s="6"/>
      <c r="FG46" s="6"/>
      <c r="FI46" s="6"/>
      <c r="FK46" s="6"/>
      <c r="FM46" s="6"/>
      <c r="FO46" s="6"/>
      <c r="FQ46" s="6"/>
      <c r="FS46" s="6"/>
      <c r="FU46" s="6"/>
      <c r="FW46" s="6"/>
      <c r="FY46" s="6"/>
      <c r="GA46" s="6"/>
      <c r="GC46" s="6"/>
      <c r="GE46" s="6"/>
    </row>
    <row r="47" spans="5:187">
      <c r="E47" s="421">
        <v>41578</v>
      </c>
      <c r="F47" s="25">
        <f>'Risk Factors'!F47</f>
        <v>3.7400000000000003E-2</v>
      </c>
      <c r="G47" s="25">
        <f>'Risk Factors'!G47</f>
        <v>-1.6500000000000001E-2</v>
      </c>
      <c r="H47" s="25">
        <f>'Risk Factors'!H47</f>
        <v>1.9E-2</v>
      </c>
      <c r="I47" s="25">
        <f>'Risk Factors'!I47</f>
        <v>4.3E-3</v>
      </c>
      <c r="J47" s="25">
        <f>BMG!F47</f>
        <v>4.6772000000000003E-3</v>
      </c>
      <c r="K47" s="25">
        <f>'Risk Factors'!J47</f>
        <v>0</v>
      </c>
      <c r="L47" s="102"/>
      <c r="M47" s="421">
        <v>41578</v>
      </c>
      <c r="N47" s="25">
        <f>'Risk Factors'!F47</f>
        <v>3.7400000000000003E-2</v>
      </c>
      <c r="O47" s="25">
        <f>'Risk Factors'!M47</f>
        <v>4.4900000000000001E-3</v>
      </c>
      <c r="P47" s="25">
        <f>'Risk Factors'!N47</f>
        <v>1.0240000000000001E-2</v>
      </c>
      <c r="Q47" s="25">
        <f>'Risk Factors'!O47</f>
        <v>1.47E-2</v>
      </c>
      <c r="R47" s="25">
        <f>'Risk Factors'!P47</f>
        <v>1.9859999999999999E-2</v>
      </c>
      <c r="S47" s="25">
        <f>'Risk Factors'!R47</f>
        <v>2.46E-2</v>
      </c>
      <c r="T47" s="25">
        <f>'Risk Factors'!S47</f>
        <v>6.8799999999999998E-3</v>
      </c>
      <c r="U47" s="25">
        <f>BMG!F47</f>
        <v>4.6772000000000003E-3</v>
      </c>
      <c r="V47" s="25"/>
      <c r="W47" s="421">
        <v>41578</v>
      </c>
      <c r="X47" s="25">
        <f>'Risk Factors'!F47</f>
        <v>3.7400000000000003E-2</v>
      </c>
      <c r="Y47" s="25">
        <f>'Risk Factors'!G47</f>
        <v>-1.6500000000000001E-2</v>
      </c>
      <c r="Z47" s="25">
        <f>'Risk Factors'!H47</f>
        <v>1.9E-2</v>
      </c>
      <c r="AA47" s="25">
        <f>'Risk Factors'!T47</f>
        <v>6.8799999999999998E-3</v>
      </c>
      <c r="AB47" s="25">
        <f>'Risk Factors'!U47</f>
        <v>1.436E-2</v>
      </c>
      <c r="AC47" s="25">
        <f>BMG!F47</f>
        <v>4.6772000000000003E-3</v>
      </c>
      <c r="AE47" s="6"/>
      <c r="AG47" s="6"/>
      <c r="AI47" s="6"/>
      <c r="AK47" s="6"/>
      <c r="AM47" s="6"/>
      <c r="AO47" s="6"/>
      <c r="AQ47" s="6"/>
      <c r="AS47" s="6"/>
      <c r="AU47" s="6"/>
      <c r="AW47" s="6"/>
      <c r="AY47" s="6"/>
      <c r="BA47" s="6"/>
      <c r="BC47" s="6"/>
      <c r="BE47" s="6"/>
      <c r="BG47" s="6"/>
      <c r="BI47" s="6"/>
      <c r="BK47" s="6"/>
      <c r="BM47" s="6"/>
      <c r="BO47" s="6"/>
      <c r="BQ47" s="6"/>
      <c r="BS47" s="6"/>
      <c r="BU47" s="6"/>
      <c r="BW47" s="6"/>
      <c r="BY47" s="6"/>
      <c r="CA47" s="6"/>
      <c r="CC47" s="6"/>
      <c r="CE47" s="6"/>
      <c r="CG47" s="6"/>
      <c r="CI47" s="6"/>
      <c r="CK47" s="6"/>
      <c r="CM47" s="6"/>
      <c r="CO47" s="6"/>
      <c r="CQ47" s="6"/>
      <c r="CS47" s="6"/>
      <c r="CU47" s="6"/>
      <c r="CW47" s="6"/>
      <c r="CY47" s="6"/>
      <c r="DA47" s="6"/>
      <c r="DC47" s="6"/>
      <c r="DE47" s="6"/>
      <c r="DG47" s="6"/>
      <c r="DI47" s="6"/>
      <c r="DK47" s="6"/>
      <c r="DM47" s="6"/>
      <c r="DO47" s="6"/>
      <c r="DQ47" s="6"/>
      <c r="DS47" s="6"/>
      <c r="DU47" s="6"/>
      <c r="DW47" s="6"/>
      <c r="DY47" s="6"/>
      <c r="EA47" s="6"/>
      <c r="EC47" s="6"/>
      <c r="EE47" s="6"/>
      <c r="EG47" s="6"/>
      <c r="EI47" s="6"/>
      <c r="EK47" s="6"/>
      <c r="EM47" s="6"/>
      <c r="EO47" s="6"/>
      <c r="EQ47" s="6"/>
      <c r="ES47" s="6"/>
      <c r="EU47" s="6"/>
      <c r="EW47" s="6"/>
      <c r="EY47" s="6"/>
      <c r="FA47" s="6"/>
      <c r="FC47" s="6"/>
      <c r="FE47" s="6"/>
      <c r="FG47" s="6"/>
      <c r="FI47" s="6"/>
      <c r="FK47" s="6"/>
      <c r="FM47" s="6"/>
      <c r="FO47" s="6"/>
      <c r="FQ47" s="6"/>
      <c r="FS47" s="6"/>
      <c r="FU47" s="6"/>
      <c r="FW47" s="6"/>
      <c r="FY47" s="6"/>
      <c r="GA47" s="6"/>
      <c r="GC47" s="6"/>
      <c r="GE47" s="6"/>
    </row>
    <row r="48" spans="5:187">
      <c r="E48" s="421">
        <v>41608</v>
      </c>
      <c r="F48" s="25">
        <f>'Risk Factors'!F48</f>
        <v>1.8100000000000002E-2</v>
      </c>
      <c r="G48" s="25">
        <f>'Risk Factors'!G48</f>
        <v>-2.0999999999999999E-3</v>
      </c>
      <c r="H48" s="25">
        <f>'Risk Factors'!H48</f>
        <v>-1.6999999999999999E-3</v>
      </c>
      <c r="I48" s="25">
        <f>'Risk Factors'!I48</f>
        <v>2.1600000000000001E-2</v>
      </c>
      <c r="J48" s="25">
        <f>BMG!F48</f>
        <v>-2.2932600000000001E-2</v>
      </c>
      <c r="K48" s="25">
        <f>'Risk Factors'!J48</f>
        <v>0</v>
      </c>
      <c r="L48" s="102"/>
      <c r="M48" s="421">
        <v>41608</v>
      </c>
      <c r="N48" s="25">
        <f>'Risk Factors'!F48</f>
        <v>1.8100000000000002E-2</v>
      </c>
      <c r="O48" s="25">
        <f>'Risk Factors'!M48</f>
        <v>-8.4999999999999995E-4</v>
      </c>
      <c r="P48" s="25">
        <f>'Risk Factors'!N48</f>
        <v>1.0499999999999999E-3</v>
      </c>
      <c r="Q48" s="25">
        <f>'Risk Factors'!O48</f>
        <v>1.23E-3</v>
      </c>
      <c r="R48" s="25">
        <f>'Risk Factors'!P48</f>
        <v>-3.5599999999999998E-3</v>
      </c>
      <c r="S48" s="25">
        <f>'Risk Factors'!R48</f>
        <v>4.5700000000000003E-3</v>
      </c>
      <c r="T48" s="25">
        <f>'Risk Factors'!S48</f>
        <v>-8.7500000000000008E-3</v>
      </c>
      <c r="U48" s="25">
        <f>BMG!F48</f>
        <v>-2.2932600000000001E-2</v>
      </c>
      <c r="V48" s="25"/>
      <c r="W48" s="421">
        <v>41608</v>
      </c>
      <c r="X48" s="25">
        <f>'Risk Factors'!F48</f>
        <v>1.8100000000000002E-2</v>
      </c>
      <c r="Y48" s="25">
        <f>'Risk Factors'!G48</f>
        <v>-2.0999999999999999E-3</v>
      </c>
      <c r="Z48" s="25">
        <f>'Risk Factors'!H48</f>
        <v>-1.6999999999999999E-3</v>
      </c>
      <c r="AA48" s="25">
        <f>'Risk Factors'!T48</f>
        <v>-8.7500000000000008E-3</v>
      </c>
      <c r="AB48" s="25">
        <f>'Risk Factors'!U48</f>
        <v>3.5200000000000006E-3</v>
      </c>
      <c r="AC48" s="25">
        <f>BMG!F48</f>
        <v>-2.2932600000000001E-2</v>
      </c>
      <c r="AE48" s="6"/>
      <c r="AG48" s="6"/>
      <c r="AI48" s="6"/>
      <c r="AK48" s="6"/>
      <c r="AM48" s="6"/>
      <c r="AO48" s="6"/>
      <c r="AQ48" s="6"/>
      <c r="AS48" s="6"/>
      <c r="AU48" s="6"/>
      <c r="AW48" s="6"/>
      <c r="AY48" s="6"/>
      <c r="BA48" s="6"/>
      <c r="BC48" s="6"/>
      <c r="BE48" s="6"/>
      <c r="BG48" s="6"/>
      <c r="BI48" s="6"/>
      <c r="BK48" s="6"/>
      <c r="BM48" s="6"/>
      <c r="BO48" s="6"/>
      <c r="BQ48" s="6"/>
      <c r="BS48" s="6"/>
      <c r="BU48" s="6"/>
      <c r="BW48" s="6"/>
      <c r="BY48" s="6"/>
      <c r="CA48" s="6"/>
      <c r="CC48" s="6"/>
      <c r="CE48" s="6"/>
      <c r="CG48" s="6"/>
      <c r="CI48" s="6"/>
      <c r="CK48" s="6"/>
      <c r="CM48" s="6"/>
      <c r="CO48" s="6"/>
      <c r="CQ48" s="6"/>
      <c r="CS48" s="6"/>
      <c r="CU48" s="6"/>
      <c r="CW48" s="6"/>
      <c r="CY48" s="6"/>
      <c r="DA48" s="6"/>
      <c r="DC48" s="6"/>
      <c r="DE48" s="6"/>
      <c r="DG48" s="6"/>
      <c r="DI48" s="6"/>
      <c r="DK48" s="6"/>
      <c r="DM48" s="6"/>
      <c r="DO48" s="6"/>
      <c r="DQ48" s="6"/>
      <c r="DS48" s="6"/>
      <c r="DU48" s="6"/>
      <c r="DW48" s="6"/>
      <c r="DY48" s="6"/>
      <c r="EA48" s="6"/>
      <c r="EC48" s="6"/>
      <c r="EE48" s="6"/>
      <c r="EG48" s="6"/>
      <c r="EI48" s="6"/>
      <c r="EK48" s="6"/>
      <c r="EM48" s="6"/>
      <c r="EO48" s="6"/>
      <c r="EQ48" s="6"/>
      <c r="ES48" s="6"/>
      <c r="EU48" s="6"/>
      <c r="EW48" s="6"/>
      <c r="EY48" s="6"/>
      <c r="FA48" s="6"/>
      <c r="FC48" s="6"/>
      <c r="FE48" s="6"/>
      <c r="FG48" s="6"/>
      <c r="FI48" s="6"/>
      <c r="FK48" s="6"/>
      <c r="FM48" s="6"/>
      <c r="FO48" s="6"/>
      <c r="FQ48" s="6"/>
      <c r="FS48" s="6"/>
      <c r="FU48" s="6"/>
      <c r="FW48" s="6"/>
      <c r="FY48" s="6"/>
      <c r="GA48" s="6"/>
      <c r="GC48" s="6"/>
      <c r="GE48" s="6"/>
    </row>
    <row r="49" spans="5:187">
      <c r="E49" s="421">
        <v>41639</v>
      </c>
      <c r="F49" s="25">
        <f>'Risk Factors'!F49</f>
        <v>2.18E-2</v>
      </c>
      <c r="G49" s="25">
        <f>'Risk Factors'!G49</f>
        <v>-2.2000000000000001E-3</v>
      </c>
      <c r="H49" s="25">
        <f>'Risk Factors'!H49</f>
        <v>-1.5E-3</v>
      </c>
      <c r="I49" s="25">
        <f>'Risk Factors'!I49</f>
        <v>1.11E-2</v>
      </c>
      <c r="J49" s="25">
        <f>BMG!F49</f>
        <v>-2.3330000000000001E-4</v>
      </c>
      <c r="K49" s="25">
        <f>'Risk Factors'!J49</f>
        <v>0</v>
      </c>
      <c r="L49" s="102"/>
      <c r="M49" s="421">
        <v>41639</v>
      </c>
      <c r="N49" s="25">
        <f>'Risk Factors'!F49</f>
        <v>2.18E-2</v>
      </c>
      <c r="O49" s="25">
        <f>'Risk Factors'!M49</f>
        <v>1.97E-3</v>
      </c>
      <c r="P49" s="25">
        <f>'Risk Factors'!N49</f>
        <v>-1.2899999999999999E-3</v>
      </c>
      <c r="Q49" s="25">
        <f>'Risk Factors'!O49</f>
        <v>-1.92E-3</v>
      </c>
      <c r="R49" s="25">
        <f>'Risk Factors'!P49</f>
        <v>-2.2200000000000002E-3</v>
      </c>
      <c r="S49" s="25">
        <f>'Risk Factors'!R49</f>
        <v>8.6E-3</v>
      </c>
      <c r="T49" s="25">
        <f>'Risk Factors'!S49</f>
        <v>-8.2699999999999996E-3</v>
      </c>
      <c r="U49" s="25">
        <f>BMG!F49</f>
        <v>-2.3330000000000001E-4</v>
      </c>
      <c r="V49" s="25"/>
      <c r="W49" s="421">
        <v>41639</v>
      </c>
      <c r="X49" s="25">
        <f>'Risk Factors'!F49</f>
        <v>2.18E-2</v>
      </c>
      <c r="Y49" s="25">
        <f>'Risk Factors'!G49</f>
        <v>-2.2000000000000001E-3</v>
      </c>
      <c r="Z49" s="25">
        <f>'Risk Factors'!H49</f>
        <v>-1.5E-3</v>
      </c>
      <c r="AA49" s="25">
        <f>'Risk Factors'!T49</f>
        <v>-8.2699999999999996E-3</v>
      </c>
      <c r="AB49" s="25">
        <f>'Risk Factors'!U49</f>
        <v>9.8899999999999995E-3</v>
      </c>
      <c r="AC49" s="25">
        <f>BMG!F49</f>
        <v>-2.3330000000000001E-4</v>
      </c>
      <c r="AE49" s="6"/>
      <c r="AG49" s="6"/>
      <c r="AI49" s="6"/>
      <c r="AK49" s="6"/>
      <c r="AM49" s="6"/>
      <c r="AO49" s="6"/>
      <c r="AQ49" s="6"/>
      <c r="AS49" s="6"/>
      <c r="AU49" s="6"/>
      <c r="AW49" s="6"/>
      <c r="AY49" s="6"/>
      <c r="BA49" s="6"/>
      <c r="BC49" s="6"/>
      <c r="BE49" s="6"/>
      <c r="BG49" s="6"/>
      <c r="BI49" s="6"/>
      <c r="BK49" s="6"/>
      <c r="BM49" s="6"/>
      <c r="BO49" s="6"/>
      <c r="BQ49" s="6"/>
      <c r="BS49" s="6"/>
      <c r="BU49" s="6"/>
      <c r="BW49" s="6"/>
      <c r="BY49" s="6"/>
      <c r="CA49" s="6"/>
      <c r="CC49" s="6"/>
      <c r="CE49" s="6"/>
      <c r="CG49" s="6"/>
      <c r="CI49" s="6"/>
      <c r="CK49" s="6"/>
      <c r="CM49" s="6"/>
      <c r="CO49" s="6"/>
      <c r="CQ49" s="6"/>
      <c r="CS49" s="6"/>
      <c r="CU49" s="6"/>
      <c r="CW49" s="6"/>
      <c r="CY49" s="6"/>
      <c r="DA49" s="6"/>
      <c r="DC49" s="6"/>
      <c r="DE49" s="6"/>
      <c r="DG49" s="6"/>
      <c r="DI49" s="6"/>
      <c r="DK49" s="6"/>
      <c r="DM49" s="6"/>
      <c r="DO49" s="6"/>
      <c r="DQ49" s="6"/>
      <c r="DS49" s="6"/>
      <c r="DU49" s="6"/>
      <c r="DW49" s="6"/>
      <c r="DY49" s="6"/>
      <c r="EA49" s="6"/>
      <c r="EC49" s="6"/>
      <c r="EE49" s="6"/>
      <c r="EG49" s="6"/>
      <c r="EI49" s="6"/>
      <c r="EK49" s="6"/>
      <c r="EM49" s="6"/>
      <c r="EO49" s="6"/>
      <c r="EQ49" s="6"/>
      <c r="ES49" s="6"/>
      <c r="EU49" s="6"/>
      <c r="EW49" s="6"/>
      <c r="EY49" s="6"/>
      <c r="FA49" s="6"/>
      <c r="FC49" s="6"/>
      <c r="FE49" s="6"/>
      <c r="FG49" s="6"/>
      <c r="FI49" s="6"/>
      <c r="FK49" s="6"/>
      <c r="FM49" s="6"/>
      <c r="FO49" s="6"/>
      <c r="FQ49" s="6"/>
      <c r="FS49" s="6"/>
      <c r="FU49" s="6"/>
      <c r="FW49" s="6"/>
      <c r="FY49" s="6"/>
      <c r="GA49" s="6"/>
      <c r="GC49" s="6"/>
      <c r="GE49" s="6"/>
    </row>
    <row r="50" spans="5:187">
      <c r="E50" s="421">
        <v>41670</v>
      </c>
      <c r="F50" s="25">
        <f>'Risk Factors'!F50</f>
        <v>-3.32E-2</v>
      </c>
      <c r="G50" s="25">
        <f>'Risk Factors'!G50</f>
        <v>2.7199999999999998E-2</v>
      </c>
      <c r="H50" s="25">
        <f>'Risk Factors'!H50</f>
        <v>-4.0000000000000002E-4</v>
      </c>
      <c r="I50" s="25">
        <f>'Risk Factors'!I50</f>
        <v>1.15E-2</v>
      </c>
      <c r="J50" s="25">
        <f>BMG!F50</f>
        <v>-3.2542000000000001E-3</v>
      </c>
      <c r="K50" s="25">
        <f>'Risk Factors'!J50</f>
        <v>0</v>
      </c>
      <c r="L50" s="102"/>
      <c r="M50" s="421">
        <v>41670</v>
      </c>
      <c r="N50" s="25">
        <f>'Risk Factors'!F50</f>
        <v>-3.32E-2</v>
      </c>
      <c r="O50" s="25">
        <f>'Risk Factors'!M50</f>
        <v>-5.0200000000000002E-3</v>
      </c>
      <c r="P50" s="25">
        <f>'Risk Factors'!N50</f>
        <v>1.5100000000000001E-3</v>
      </c>
      <c r="Q50" s="25">
        <f>'Risk Factors'!O50</f>
        <v>7.2700000000000004E-3</v>
      </c>
      <c r="R50" s="25">
        <f>'Risk Factors'!P50</f>
        <v>1.4789999999999999E-2</v>
      </c>
      <c r="S50" s="25">
        <f>'Risk Factors'!R50</f>
        <v>1E-3</v>
      </c>
      <c r="T50" s="25">
        <f>'Risk Factors'!S50</f>
        <v>9.7099999999999999E-3</v>
      </c>
      <c r="U50" s="25">
        <f>BMG!F50</f>
        <v>-3.2542000000000001E-3</v>
      </c>
      <c r="V50" s="25"/>
      <c r="W50" s="421">
        <v>41670</v>
      </c>
      <c r="X50" s="25">
        <f>'Risk Factors'!F50</f>
        <v>-3.32E-2</v>
      </c>
      <c r="Y50" s="25">
        <f>'Risk Factors'!G50</f>
        <v>2.7199999999999998E-2</v>
      </c>
      <c r="Z50" s="25">
        <f>'Risk Factors'!H50</f>
        <v>-4.0000000000000002E-4</v>
      </c>
      <c r="AA50" s="25">
        <f>'Risk Factors'!T50</f>
        <v>9.7099999999999999E-3</v>
      </c>
      <c r="AB50" s="25">
        <f>'Risk Factors'!U50</f>
        <v>-5.1000000000000004E-4</v>
      </c>
      <c r="AC50" s="25">
        <f>BMG!F50</f>
        <v>-3.2542000000000001E-3</v>
      </c>
      <c r="AE50" s="6"/>
      <c r="AG50" s="6"/>
      <c r="AI50" s="6"/>
      <c r="AK50" s="6"/>
      <c r="AM50" s="6"/>
      <c r="AO50" s="6"/>
      <c r="AQ50" s="6"/>
      <c r="AS50" s="6"/>
      <c r="AU50" s="6"/>
      <c r="AW50" s="6"/>
      <c r="AY50" s="6"/>
      <c r="BA50" s="6"/>
      <c r="BC50" s="6"/>
      <c r="BE50" s="6"/>
      <c r="BG50" s="6"/>
      <c r="BI50" s="6"/>
      <c r="BK50" s="6"/>
      <c r="BM50" s="6"/>
      <c r="BO50" s="6"/>
      <c r="BQ50" s="6"/>
      <c r="BS50" s="6"/>
      <c r="BU50" s="6"/>
      <c r="BW50" s="6"/>
      <c r="BY50" s="6"/>
      <c r="CA50" s="6"/>
      <c r="CC50" s="6"/>
      <c r="CE50" s="6"/>
      <c r="CG50" s="6"/>
      <c r="CI50" s="6"/>
      <c r="CK50" s="6"/>
      <c r="CM50" s="6"/>
      <c r="CO50" s="6"/>
      <c r="CQ50" s="6"/>
      <c r="CS50" s="6"/>
      <c r="CU50" s="6"/>
      <c r="CW50" s="6"/>
      <c r="CY50" s="6"/>
      <c r="DA50" s="6"/>
      <c r="DC50" s="6"/>
      <c r="DE50" s="6"/>
      <c r="DG50" s="6"/>
      <c r="DI50" s="6"/>
      <c r="DK50" s="6"/>
      <c r="DM50" s="6"/>
      <c r="DO50" s="6"/>
      <c r="DQ50" s="6"/>
      <c r="DS50" s="6"/>
      <c r="DU50" s="6"/>
      <c r="DW50" s="6"/>
      <c r="DY50" s="6"/>
      <c r="EA50" s="6"/>
      <c r="EC50" s="6"/>
      <c r="EE50" s="6"/>
      <c r="EG50" s="6"/>
      <c r="EI50" s="6"/>
      <c r="EK50" s="6"/>
      <c r="EM50" s="6"/>
      <c r="EO50" s="6"/>
      <c r="EQ50" s="6"/>
      <c r="ES50" s="6"/>
      <c r="EU50" s="6"/>
      <c r="EW50" s="6"/>
      <c r="EY50" s="6"/>
      <c r="FA50" s="6"/>
      <c r="FC50" s="6"/>
      <c r="FE50" s="6"/>
      <c r="FG50" s="6"/>
      <c r="FI50" s="6"/>
      <c r="FK50" s="6"/>
      <c r="FM50" s="6"/>
      <c r="FO50" s="6"/>
      <c r="FQ50" s="6"/>
      <c r="FS50" s="6"/>
      <c r="FU50" s="6"/>
      <c r="FW50" s="6"/>
      <c r="FY50" s="6"/>
      <c r="GA50" s="6"/>
      <c r="GC50" s="6"/>
      <c r="GE50" s="6"/>
    </row>
    <row r="51" spans="5:187">
      <c r="E51" s="421">
        <v>41698</v>
      </c>
      <c r="F51" s="25">
        <f>'Risk Factors'!F51</f>
        <v>5.0500000000000003E-2</v>
      </c>
      <c r="G51" s="25">
        <f>'Risk Factors'!G51</f>
        <v>-7.1000000000000004E-3</v>
      </c>
      <c r="H51" s="25">
        <f>'Risk Factors'!H51</f>
        <v>2.9999999999999997E-4</v>
      </c>
      <c r="I51" s="25">
        <f>'Risk Factors'!I51</f>
        <v>1.5900000000000001E-2</v>
      </c>
      <c r="J51" s="25">
        <f>BMG!F51</f>
        <v>-3.3100999999999998E-3</v>
      </c>
      <c r="K51" s="25">
        <f>'Risk Factors'!J51</f>
        <v>0</v>
      </c>
      <c r="L51" s="102"/>
      <c r="M51" s="421">
        <v>41698</v>
      </c>
      <c r="N51" s="25">
        <f>'Risk Factors'!F51</f>
        <v>5.0500000000000003E-2</v>
      </c>
      <c r="O51" s="25">
        <f>'Risk Factors'!M51</f>
        <v>1.12E-2</v>
      </c>
      <c r="P51" s="25">
        <f>'Risk Factors'!N51</f>
        <v>1.426E-2</v>
      </c>
      <c r="Q51" s="25">
        <f>'Risk Factors'!O51</f>
        <v>1.763E-2</v>
      </c>
      <c r="R51" s="25">
        <f>'Risk Factors'!P51</f>
        <v>1.941E-2</v>
      </c>
      <c r="S51" s="25">
        <f>'Risk Factors'!R51</f>
        <v>2.4330000000000001E-2</v>
      </c>
      <c r="T51" s="25">
        <f>'Risk Factors'!S51</f>
        <v>1.086E-2</v>
      </c>
      <c r="U51" s="25">
        <f>BMG!F51</f>
        <v>-3.3100999999999998E-3</v>
      </c>
      <c r="V51" s="25"/>
      <c r="W51" s="421">
        <v>41698</v>
      </c>
      <c r="X51" s="25">
        <f>'Risk Factors'!F51</f>
        <v>5.0500000000000003E-2</v>
      </c>
      <c r="Y51" s="25">
        <f>'Risk Factors'!G51</f>
        <v>-7.1000000000000004E-3</v>
      </c>
      <c r="Z51" s="25">
        <f>'Risk Factors'!H51</f>
        <v>2.9999999999999997E-4</v>
      </c>
      <c r="AA51" s="25">
        <f>'Risk Factors'!T51</f>
        <v>1.086E-2</v>
      </c>
      <c r="AB51" s="25">
        <f>'Risk Factors'!U51</f>
        <v>1.0070000000000001E-2</v>
      </c>
      <c r="AC51" s="25">
        <f>BMG!F51</f>
        <v>-3.3100999999999998E-3</v>
      </c>
      <c r="AE51" s="6"/>
      <c r="AG51" s="6"/>
      <c r="AI51" s="6"/>
      <c r="AK51" s="6"/>
      <c r="AM51" s="6"/>
      <c r="AO51" s="6"/>
      <c r="AQ51" s="6"/>
      <c r="AS51" s="6"/>
      <c r="AU51" s="6"/>
      <c r="AW51" s="6"/>
      <c r="AY51" s="6"/>
      <c r="BA51" s="6"/>
      <c r="BC51" s="6"/>
      <c r="BE51" s="6"/>
      <c r="BG51" s="6"/>
      <c r="BI51" s="6"/>
      <c r="BK51" s="6"/>
      <c r="BM51" s="6"/>
      <c r="BO51" s="6"/>
      <c r="BQ51" s="6"/>
      <c r="BS51" s="6"/>
      <c r="BU51" s="6"/>
      <c r="BW51" s="6"/>
      <c r="BY51" s="6"/>
      <c r="CA51" s="6"/>
      <c r="CC51" s="6"/>
      <c r="CE51" s="6"/>
      <c r="CG51" s="6"/>
      <c r="CI51" s="6"/>
      <c r="CK51" s="6"/>
      <c r="CM51" s="6"/>
      <c r="CO51" s="6"/>
      <c r="CQ51" s="6"/>
      <c r="CS51" s="6"/>
      <c r="CU51" s="6"/>
      <c r="CW51" s="6"/>
      <c r="CY51" s="6"/>
      <c r="DA51" s="6"/>
      <c r="DC51" s="6"/>
      <c r="DE51" s="6"/>
      <c r="DG51" s="6"/>
      <c r="DI51" s="6"/>
      <c r="DK51" s="6"/>
      <c r="DM51" s="6"/>
      <c r="DO51" s="6"/>
      <c r="DQ51" s="6"/>
      <c r="DS51" s="6"/>
      <c r="DU51" s="6"/>
      <c r="DW51" s="6"/>
      <c r="DY51" s="6"/>
      <c r="EA51" s="6"/>
      <c r="EC51" s="6"/>
      <c r="EE51" s="6"/>
      <c r="EG51" s="6"/>
      <c r="EI51" s="6"/>
      <c r="EK51" s="6"/>
      <c r="EM51" s="6"/>
      <c r="EO51" s="6"/>
      <c r="EQ51" s="6"/>
      <c r="ES51" s="6"/>
      <c r="EU51" s="6"/>
      <c r="EW51" s="6"/>
      <c r="EY51" s="6"/>
      <c r="FA51" s="6"/>
      <c r="FC51" s="6"/>
      <c r="FE51" s="6"/>
      <c r="FG51" s="6"/>
      <c r="FI51" s="6"/>
      <c r="FK51" s="6"/>
      <c r="FM51" s="6"/>
      <c r="FO51" s="6"/>
      <c r="FQ51" s="6"/>
      <c r="FS51" s="6"/>
      <c r="FU51" s="6"/>
      <c r="FW51" s="6"/>
      <c r="FY51" s="6"/>
      <c r="GA51" s="6"/>
      <c r="GC51" s="6"/>
      <c r="GE51" s="6"/>
    </row>
    <row r="52" spans="5:187">
      <c r="E52" s="421">
        <v>41729</v>
      </c>
      <c r="F52" s="25">
        <f>'Risk Factors'!F52</f>
        <v>1.5E-3</v>
      </c>
      <c r="G52" s="25">
        <f>'Risk Factors'!G52</f>
        <v>-4.5999999999999999E-3</v>
      </c>
      <c r="H52" s="25">
        <f>'Risk Factors'!H52</f>
        <v>2.7199999999999998E-2</v>
      </c>
      <c r="I52" s="25">
        <f>'Risk Factors'!I52</f>
        <v>-2.24E-2</v>
      </c>
      <c r="J52" s="25">
        <f>BMG!F52</f>
        <v>1.31115E-2</v>
      </c>
      <c r="K52" s="25">
        <f>'Risk Factors'!J52</f>
        <v>0</v>
      </c>
      <c r="L52" s="102"/>
      <c r="M52" s="421">
        <v>41729</v>
      </c>
      <c r="N52" s="25">
        <f>'Risk Factors'!F52</f>
        <v>1.5E-3</v>
      </c>
      <c r="O52" s="25">
        <f>'Risk Factors'!M52</f>
        <v>2.2000000000000001E-4</v>
      </c>
      <c r="P52" s="25">
        <f>'Risk Factors'!N52</f>
        <v>-1.5299999999999999E-3</v>
      </c>
      <c r="Q52" s="25">
        <f>'Risk Factors'!O52</f>
        <v>-4.6000000000000001E-4</v>
      </c>
      <c r="R52" s="25">
        <f>'Risk Factors'!P52</f>
        <v>2.4499999999999999E-3</v>
      </c>
      <c r="S52" s="25">
        <f>'Risk Factors'!R52</f>
        <v>3.2000000000000002E-3</v>
      </c>
      <c r="T52" s="25">
        <f>'Risk Factors'!S52</f>
        <v>-2.7799999999999999E-3</v>
      </c>
      <c r="U52" s="25">
        <f>BMG!F52</f>
        <v>1.31115E-2</v>
      </c>
      <c r="V52" s="25"/>
      <c r="W52" s="421">
        <v>41729</v>
      </c>
      <c r="X52" s="25">
        <f>'Risk Factors'!F52</f>
        <v>1.5E-3</v>
      </c>
      <c r="Y52" s="25">
        <f>'Risk Factors'!G52</f>
        <v>-4.5999999999999999E-3</v>
      </c>
      <c r="Z52" s="25">
        <f>'Risk Factors'!H52</f>
        <v>2.7199999999999998E-2</v>
      </c>
      <c r="AA52" s="25">
        <f>'Risk Factors'!T52</f>
        <v>-2.7799999999999999E-3</v>
      </c>
      <c r="AB52" s="25">
        <f>'Risk Factors'!U52</f>
        <v>4.7299999999999998E-3</v>
      </c>
      <c r="AC52" s="25">
        <f>BMG!F52</f>
        <v>1.31115E-2</v>
      </c>
      <c r="AE52" s="6"/>
      <c r="AG52" s="6"/>
      <c r="AI52" s="6"/>
      <c r="AK52" s="6"/>
      <c r="AM52" s="6"/>
      <c r="AO52" s="6"/>
      <c r="AQ52" s="6"/>
      <c r="AS52" s="6"/>
      <c r="AU52" s="6"/>
      <c r="AW52" s="6"/>
      <c r="AY52" s="6"/>
      <c r="BA52" s="6"/>
      <c r="BC52" s="6"/>
      <c r="BE52" s="6"/>
      <c r="BG52" s="6"/>
      <c r="BI52" s="6"/>
      <c r="BK52" s="6"/>
      <c r="BM52" s="6"/>
      <c r="BO52" s="6"/>
      <c r="BQ52" s="6"/>
      <c r="BS52" s="6"/>
      <c r="BU52" s="6"/>
      <c r="BW52" s="6"/>
      <c r="BY52" s="6"/>
      <c r="CA52" s="6"/>
      <c r="CC52" s="6"/>
      <c r="CE52" s="6"/>
      <c r="CG52" s="6"/>
      <c r="CI52" s="6"/>
      <c r="CK52" s="6"/>
      <c r="CM52" s="6"/>
      <c r="CO52" s="6"/>
      <c r="CQ52" s="6"/>
      <c r="CS52" s="6"/>
      <c r="CU52" s="6"/>
      <c r="CW52" s="6"/>
      <c r="CY52" s="6"/>
      <c r="DA52" s="6"/>
      <c r="DC52" s="6"/>
      <c r="DE52" s="6"/>
      <c r="DG52" s="6"/>
      <c r="DI52" s="6"/>
      <c r="DK52" s="6"/>
      <c r="DM52" s="6"/>
      <c r="DO52" s="6"/>
      <c r="DQ52" s="6"/>
      <c r="DS52" s="6"/>
      <c r="DU52" s="6"/>
      <c r="DW52" s="6"/>
      <c r="DY52" s="6"/>
      <c r="EA52" s="6"/>
      <c r="EC52" s="6"/>
      <c r="EE52" s="6"/>
      <c r="EG52" s="6"/>
      <c r="EI52" s="6"/>
      <c r="EK52" s="6"/>
      <c r="EM52" s="6"/>
      <c r="EO52" s="6"/>
      <c r="EQ52" s="6"/>
      <c r="ES52" s="6"/>
      <c r="EU52" s="6"/>
      <c r="EW52" s="6"/>
      <c r="EY52" s="6"/>
      <c r="FA52" s="6"/>
      <c r="FC52" s="6"/>
      <c r="FE52" s="6"/>
      <c r="FG52" s="6"/>
      <c r="FI52" s="6"/>
      <c r="FK52" s="6"/>
      <c r="FM52" s="6"/>
      <c r="FO52" s="6"/>
      <c r="FQ52" s="6"/>
      <c r="FS52" s="6"/>
      <c r="FU52" s="6"/>
      <c r="FW52" s="6"/>
      <c r="FY52" s="6"/>
      <c r="GA52" s="6"/>
      <c r="GC52" s="6"/>
      <c r="GE52" s="6"/>
    </row>
    <row r="53" spans="5:187">
      <c r="E53" s="421">
        <v>41759</v>
      </c>
      <c r="F53" s="25">
        <f>'Risk Factors'!F53</f>
        <v>5.5999999999999999E-3</v>
      </c>
      <c r="G53" s="25">
        <f>'Risk Factors'!G53</f>
        <v>-2.6499999999999999E-2</v>
      </c>
      <c r="H53" s="25">
        <f>'Risk Factors'!H53</f>
        <v>1.0699999999999999E-2</v>
      </c>
      <c r="I53" s="25">
        <f>'Risk Factors'!I53</f>
        <v>-3.4200000000000001E-2</v>
      </c>
      <c r="J53" s="25">
        <f>BMG!F53</f>
        <v>5.4641999999999998E-3</v>
      </c>
      <c r="K53" s="25">
        <f>'Risk Factors'!J53</f>
        <v>0</v>
      </c>
      <c r="L53" s="102"/>
      <c r="M53" s="421">
        <v>41759</v>
      </c>
      <c r="N53" s="25">
        <f>'Risk Factors'!F53</f>
        <v>5.5999999999999999E-3</v>
      </c>
      <c r="O53" s="25">
        <f>'Risk Factors'!M53</f>
        <v>5.7000000000000002E-3</v>
      </c>
      <c r="P53" s="25">
        <f>'Risk Factors'!N53</f>
        <v>8.77E-3</v>
      </c>
      <c r="Q53" s="25">
        <f>'Risk Factors'!O53</f>
        <v>1.371E-2</v>
      </c>
      <c r="R53" s="25">
        <f>'Risk Factors'!P53</f>
        <v>1.5440000000000001E-2</v>
      </c>
      <c r="S53" s="25">
        <f>'Risk Factors'!R53</f>
        <v>9.6699999999999998E-3</v>
      </c>
      <c r="T53" s="25">
        <f>'Risk Factors'!S53</f>
        <v>8.1700000000000002E-3</v>
      </c>
      <c r="U53" s="25">
        <f>BMG!F53</f>
        <v>5.4641999999999998E-3</v>
      </c>
      <c r="V53" s="25"/>
      <c r="W53" s="421">
        <v>41759</v>
      </c>
      <c r="X53" s="25">
        <f>'Risk Factors'!F53</f>
        <v>5.5999999999999999E-3</v>
      </c>
      <c r="Y53" s="25">
        <f>'Risk Factors'!G53</f>
        <v>-2.6499999999999999E-2</v>
      </c>
      <c r="Z53" s="25">
        <f>'Risk Factors'!H53</f>
        <v>1.0699999999999999E-2</v>
      </c>
      <c r="AA53" s="25">
        <f>'Risk Factors'!T53</f>
        <v>8.1700000000000002E-3</v>
      </c>
      <c r="AB53" s="25">
        <f>'Risk Factors'!U53</f>
        <v>8.9999999999999976E-4</v>
      </c>
      <c r="AC53" s="25">
        <f>BMG!F53</f>
        <v>5.4641999999999998E-3</v>
      </c>
      <c r="AE53" s="6"/>
      <c r="AG53" s="6"/>
      <c r="AI53" s="6"/>
      <c r="AK53" s="6"/>
      <c r="AM53" s="6"/>
      <c r="AO53" s="6"/>
      <c r="AQ53" s="6"/>
      <c r="AS53" s="6"/>
      <c r="AU53" s="6"/>
      <c r="AW53" s="6"/>
      <c r="AY53" s="6"/>
      <c r="BA53" s="6"/>
      <c r="BC53" s="6"/>
      <c r="BE53" s="6"/>
      <c r="BG53" s="6"/>
      <c r="BI53" s="6"/>
      <c r="BK53" s="6"/>
      <c r="BM53" s="6"/>
      <c r="BO53" s="6"/>
      <c r="BQ53" s="6"/>
      <c r="BS53" s="6"/>
      <c r="BU53" s="6"/>
      <c r="BW53" s="6"/>
      <c r="BY53" s="6"/>
      <c r="CA53" s="6"/>
      <c r="CC53" s="6"/>
      <c r="CE53" s="6"/>
      <c r="CG53" s="6"/>
      <c r="CI53" s="6"/>
      <c r="CK53" s="6"/>
      <c r="CM53" s="6"/>
      <c r="CO53" s="6"/>
      <c r="CQ53" s="6"/>
      <c r="CS53" s="6"/>
      <c r="CU53" s="6"/>
      <c r="CW53" s="6"/>
      <c r="CY53" s="6"/>
      <c r="DA53" s="6"/>
      <c r="DC53" s="6"/>
      <c r="DE53" s="6"/>
      <c r="DG53" s="6"/>
      <c r="DI53" s="6"/>
      <c r="DK53" s="6"/>
      <c r="DM53" s="6"/>
      <c r="DO53" s="6"/>
      <c r="DQ53" s="6"/>
      <c r="DS53" s="6"/>
      <c r="DU53" s="6"/>
      <c r="DW53" s="6"/>
      <c r="DY53" s="6"/>
      <c r="EA53" s="6"/>
      <c r="EC53" s="6"/>
      <c r="EE53" s="6"/>
      <c r="EG53" s="6"/>
      <c r="EI53" s="6"/>
      <c r="EK53" s="6"/>
      <c r="EM53" s="6"/>
      <c r="EO53" s="6"/>
      <c r="EQ53" s="6"/>
      <c r="ES53" s="6"/>
      <c r="EU53" s="6"/>
      <c r="EW53" s="6"/>
      <c r="EY53" s="6"/>
      <c r="FA53" s="6"/>
      <c r="FC53" s="6"/>
      <c r="FE53" s="6"/>
      <c r="FG53" s="6"/>
      <c r="FI53" s="6"/>
      <c r="FK53" s="6"/>
      <c r="FM53" s="6"/>
      <c r="FO53" s="6"/>
      <c r="FQ53" s="6"/>
      <c r="FS53" s="6"/>
      <c r="FU53" s="6"/>
      <c r="FW53" s="6"/>
      <c r="FY53" s="6"/>
      <c r="GA53" s="6"/>
      <c r="GC53" s="6"/>
      <c r="GE53" s="6"/>
    </row>
    <row r="54" spans="5:187">
      <c r="E54" s="421">
        <v>41790</v>
      </c>
      <c r="F54" s="25">
        <f>'Risk Factors'!F54</f>
        <v>1.7500000000000002E-2</v>
      </c>
      <c r="G54" s="25">
        <f>'Risk Factors'!G54</f>
        <v>-1.12E-2</v>
      </c>
      <c r="H54" s="25">
        <f>'Risk Factors'!H54</f>
        <v>-3.2000000000000002E-3</v>
      </c>
      <c r="I54" s="25">
        <f>'Risk Factors'!I54</f>
        <v>5.4999999999999997E-3</v>
      </c>
      <c r="J54" s="25">
        <f>BMG!F54</f>
        <v>-5.1414E-3</v>
      </c>
      <c r="K54" s="25">
        <f>'Risk Factors'!J54</f>
        <v>0</v>
      </c>
      <c r="L54" s="102"/>
      <c r="M54" s="421">
        <v>41790</v>
      </c>
      <c r="N54" s="25">
        <f>'Risk Factors'!F54</f>
        <v>1.7500000000000002E-2</v>
      </c>
      <c r="O54" s="25">
        <f>'Risk Factors'!M54</f>
        <v>-1.1800000000000001E-3</v>
      </c>
      <c r="P54" s="25">
        <f>'Risk Factors'!N54</f>
        <v>4.4000000000000003E-3</v>
      </c>
      <c r="Q54" s="25">
        <f>'Risk Factors'!O54</f>
        <v>7.8799999999999999E-3</v>
      </c>
      <c r="R54" s="25">
        <f>'Risk Factors'!P54</f>
        <v>1.423E-2</v>
      </c>
      <c r="S54" s="25">
        <f>'Risk Factors'!R54</f>
        <v>8.6E-3</v>
      </c>
      <c r="T54" s="25">
        <f>'Risk Factors'!S54</f>
        <v>2E-3</v>
      </c>
      <c r="U54" s="25">
        <f>BMG!F54</f>
        <v>-5.1414E-3</v>
      </c>
      <c r="V54" s="25"/>
      <c r="W54" s="421">
        <v>41790</v>
      </c>
      <c r="X54" s="25">
        <f>'Risk Factors'!F54</f>
        <v>1.7500000000000002E-2</v>
      </c>
      <c r="Y54" s="25">
        <f>'Risk Factors'!G54</f>
        <v>-1.12E-2</v>
      </c>
      <c r="Z54" s="25">
        <f>'Risk Factors'!H54</f>
        <v>-3.2000000000000002E-3</v>
      </c>
      <c r="AA54" s="25">
        <f>'Risk Factors'!T54</f>
        <v>2E-3</v>
      </c>
      <c r="AB54" s="25">
        <f>'Risk Factors'!U54</f>
        <v>4.1999999999999997E-3</v>
      </c>
      <c r="AC54" s="25">
        <f>BMG!F54</f>
        <v>-5.1414E-3</v>
      </c>
      <c r="AE54" s="6"/>
      <c r="AG54" s="6"/>
      <c r="AI54" s="6"/>
      <c r="AK54" s="6"/>
      <c r="AM54" s="6"/>
      <c r="AO54" s="6"/>
      <c r="AQ54" s="6"/>
      <c r="AS54" s="6"/>
      <c r="AU54" s="6"/>
      <c r="AW54" s="6"/>
      <c r="AY54" s="6"/>
      <c r="BA54" s="6"/>
      <c r="BC54" s="6"/>
      <c r="BE54" s="6"/>
      <c r="BG54" s="6"/>
      <c r="BI54" s="6"/>
      <c r="BK54" s="6"/>
      <c r="BM54" s="6"/>
      <c r="BO54" s="6"/>
      <c r="BQ54" s="6"/>
      <c r="BS54" s="6"/>
      <c r="BU54" s="6"/>
      <c r="BW54" s="6"/>
      <c r="BY54" s="6"/>
      <c r="CA54" s="6"/>
      <c r="CC54" s="6"/>
      <c r="CE54" s="6"/>
      <c r="CG54" s="6"/>
      <c r="CI54" s="6"/>
      <c r="CK54" s="6"/>
      <c r="CM54" s="6"/>
      <c r="CO54" s="6"/>
      <c r="CQ54" s="6"/>
      <c r="CS54" s="6"/>
      <c r="CU54" s="6"/>
      <c r="CW54" s="6"/>
      <c r="CY54" s="6"/>
      <c r="DA54" s="6"/>
      <c r="DC54" s="6"/>
      <c r="DE54" s="6"/>
      <c r="DG54" s="6"/>
      <c r="DI54" s="6"/>
      <c r="DK54" s="6"/>
      <c r="DM54" s="6"/>
      <c r="DO54" s="6"/>
      <c r="DQ54" s="6"/>
      <c r="DS54" s="6"/>
      <c r="DU54" s="6"/>
      <c r="DW54" s="6"/>
      <c r="DY54" s="6"/>
      <c r="EA54" s="6"/>
      <c r="EC54" s="6"/>
      <c r="EE54" s="6"/>
      <c r="EG54" s="6"/>
      <c r="EI54" s="6"/>
      <c r="EK54" s="6"/>
      <c r="EM54" s="6"/>
      <c r="EO54" s="6"/>
      <c r="EQ54" s="6"/>
      <c r="ES54" s="6"/>
      <c r="EU54" s="6"/>
      <c r="EW54" s="6"/>
      <c r="EY54" s="6"/>
      <c r="FA54" s="6"/>
      <c r="FC54" s="6"/>
      <c r="FE54" s="6"/>
      <c r="FG54" s="6"/>
      <c r="FI54" s="6"/>
      <c r="FK54" s="6"/>
      <c r="FM54" s="6"/>
      <c r="FO54" s="6"/>
      <c r="FQ54" s="6"/>
      <c r="FS54" s="6"/>
      <c r="FU54" s="6"/>
      <c r="FW54" s="6"/>
      <c r="FY54" s="6"/>
      <c r="GA54" s="6"/>
      <c r="GC54" s="6"/>
      <c r="GE54" s="6"/>
    </row>
    <row r="55" spans="5:187">
      <c r="E55" s="421">
        <v>41820</v>
      </c>
      <c r="F55" s="25">
        <f>'Risk Factors'!F55</f>
        <v>0.02</v>
      </c>
      <c r="G55" s="25">
        <f>'Risk Factors'!G55</f>
        <v>2.0899999999999998E-2</v>
      </c>
      <c r="H55" s="25">
        <f>'Risk Factors'!H55</f>
        <v>-1.1000000000000001E-3</v>
      </c>
      <c r="I55" s="25">
        <f>'Risk Factors'!I55</f>
        <v>3.0999999999999999E-3</v>
      </c>
      <c r="J55" s="25">
        <f>BMG!F55</f>
        <v>2.06847E-2</v>
      </c>
      <c r="K55" s="25">
        <f>'Risk Factors'!J55</f>
        <v>0</v>
      </c>
      <c r="L55" s="102"/>
      <c r="M55" s="421">
        <v>41820</v>
      </c>
      <c r="N55" s="25">
        <f>'Risk Factors'!F55</f>
        <v>0.02</v>
      </c>
      <c r="O55" s="25">
        <f>'Risk Factors'!M55</f>
        <v>4.5199999999999997E-3</v>
      </c>
      <c r="P55" s="25">
        <f>'Risk Factors'!N55</f>
        <v>4.9899999999999996E-3</v>
      </c>
      <c r="Q55" s="25">
        <f>'Risk Factors'!O55</f>
        <v>7.4200000000000004E-3</v>
      </c>
      <c r="R55" s="25">
        <f>'Risk Factors'!P55</f>
        <v>6.5100000000000002E-3</v>
      </c>
      <c r="S55" s="25">
        <f>'Risk Factors'!R55</f>
        <v>1.048E-2</v>
      </c>
      <c r="T55" s="25">
        <f>'Risk Factors'!S55</f>
        <v>5.5799999999999999E-3</v>
      </c>
      <c r="U55" s="25">
        <f>BMG!F55</f>
        <v>2.06847E-2</v>
      </c>
      <c r="V55" s="25"/>
      <c r="W55" s="421">
        <v>41820</v>
      </c>
      <c r="X55" s="25">
        <f>'Risk Factors'!F55</f>
        <v>0.02</v>
      </c>
      <c r="Y55" s="25">
        <f>'Risk Factors'!G55</f>
        <v>2.0899999999999998E-2</v>
      </c>
      <c r="Z55" s="25">
        <f>'Risk Factors'!H55</f>
        <v>-1.1000000000000001E-3</v>
      </c>
      <c r="AA55" s="25">
        <f>'Risk Factors'!T55</f>
        <v>5.5799999999999999E-3</v>
      </c>
      <c r="AB55" s="25">
        <f>'Risk Factors'!U55</f>
        <v>5.4900000000000001E-3</v>
      </c>
      <c r="AC55" s="25">
        <f>BMG!F55</f>
        <v>2.06847E-2</v>
      </c>
      <c r="AE55" s="6"/>
      <c r="AG55" s="6"/>
      <c r="AI55" s="6"/>
      <c r="AK55" s="6"/>
      <c r="AM55" s="6"/>
      <c r="AO55" s="6"/>
      <c r="AQ55" s="6"/>
      <c r="AS55" s="6"/>
      <c r="AU55" s="6"/>
      <c r="AW55" s="6"/>
      <c r="AY55" s="6"/>
      <c r="BA55" s="6"/>
      <c r="BC55" s="6"/>
      <c r="BE55" s="6"/>
      <c r="BG55" s="6"/>
      <c r="BI55" s="6"/>
      <c r="BK55" s="6"/>
      <c r="BM55" s="6"/>
      <c r="BO55" s="6"/>
      <c r="BQ55" s="6"/>
      <c r="BS55" s="6"/>
      <c r="BU55" s="6"/>
      <c r="BW55" s="6"/>
      <c r="BY55" s="6"/>
      <c r="CA55" s="6"/>
      <c r="CC55" s="6"/>
      <c r="CE55" s="6"/>
      <c r="CG55" s="6"/>
      <c r="CI55" s="6"/>
      <c r="CK55" s="6"/>
      <c r="CM55" s="6"/>
      <c r="CO55" s="6"/>
      <c r="CQ55" s="6"/>
      <c r="CS55" s="6"/>
      <c r="CU55" s="6"/>
      <c r="CW55" s="6"/>
      <c r="CY55" s="6"/>
      <c r="DA55" s="6"/>
      <c r="DC55" s="6"/>
      <c r="DE55" s="6"/>
      <c r="DG55" s="6"/>
      <c r="DI55" s="6"/>
      <c r="DK55" s="6"/>
      <c r="DM55" s="6"/>
      <c r="DO55" s="6"/>
      <c r="DQ55" s="6"/>
      <c r="DS55" s="6"/>
      <c r="DU55" s="6"/>
      <c r="DW55" s="6"/>
      <c r="DY55" s="6"/>
      <c r="EA55" s="6"/>
      <c r="EC55" s="6"/>
      <c r="EE55" s="6"/>
      <c r="EG55" s="6"/>
      <c r="EI55" s="6"/>
      <c r="EK55" s="6"/>
      <c r="EM55" s="6"/>
      <c r="EO55" s="6"/>
      <c r="EQ55" s="6"/>
      <c r="ES55" s="6"/>
      <c r="EU55" s="6"/>
      <c r="EW55" s="6"/>
      <c r="EY55" s="6"/>
      <c r="FA55" s="6"/>
      <c r="FC55" s="6"/>
      <c r="FE55" s="6"/>
      <c r="FG55" s="6"/>
      <c r="FI55" s="6"/>
      <c r="FK55" s="6"/>
      <c r="FM55" s="6"/>
      <c r="FO55" s="6"/>
      <c r="FQ55" s="6"/>
      <c r="FS55" s="6"/>
      <c r="FU55" s="6"/>
      <c r="FW55" s="6"/>
      <c r="FY55" s="6"/>
      <c r="GA55" s="6"/>
      <c r="GC55" s="6"/>
      <c r="GE55" s="6"/>
    </row>
    <row r="56" spans="5:187">
      <c r="E56" s="421">
        <v>41851</v>
      </c>
      <c r="F56" s="25">
        <f>'Risk Factors'!F56</f>
        <v>-2.0500000000000001E-2</v>
      </c>
      <c r="G56" s="25">
        <f>'Risk Factors'!G56</f>
        <v>-1.17E-2</v>
      </c>
      <c r="H56" s="25">
        <f>'Risk Factors'!H56</f>
        <v>2.0999999999999999E-3</v>
      </c>
      <c r="I56" s="25">
        <f>'Risk Factors'!I56</f>
        <v>5.4999999999999997E-3</v>
      </c>
      <c r="J56" s="25">
        <f>BMG!F56</f>
        <v>2.2947000000000002E-3</v>
      </c>
      <c r="K56" s="25">
        <f>'Risk Factors'!J56</f>
        <v>0</v>
      </c>
      <c r="L56" s="102"/>
      <c r="M56" s="421">
        <v>41851</v>
      </c>
      <c r="N56" s="25">
        <f>'Risk Factors'!F56</f>
        <v>-2.0500000000000001E-2</v>
      </c>
      <c r="O56" s="25">
        <f>'Risk Factors'!M56</f>
        <v>-9.7300000000000008E-3</v>
      </c>
      <c r="P56" s="25">
        <f>'Risk Factors'!N56</f>
        <v>-9.6200000000000001E-3</v>
      </c>
      <c r="Q56" s="25">
        <f>'Risk Factors'!O56</f>
        <v>-9.6600000000000002E-3</v>
      </c>
      <c r="R56" s="25">
        <f>'Risk Factors'!P56</f>
        <v>-6.2700000000000004E-3</v>
      </c>
      <c r="S56" s="25">
        <f>'Risk Factors'!R56</f>
        <v>-1.4149999999999999E-2</v>
      </c>
      <c r="T56" s="25">
        <f>'Risk Factors'!S56</f>
        <v>-1.076E-2</v>
      </c>
      <c r="U56" s="25">
        <f>BMG!F56</f>
        <v>2.2947000000000002E-3</v>
      </c>
      <c r="V56" s="25"/>
      <c r="W56" s="421">
        <v>41851</v>
      </c>
      <c r="X56" s="25">
        <f>'Risk Factors'!F56</f>
        <v>-2.0500000000000001E-2</v>
      </c>
      <c r="Y56" s="25">
        <f>'Risk Factors'!G56</f>
        <v>-1.17E-2</v>
      </c>
      <c r="Z56" s="25">
        <f>'Risk Factors'!H56</f>
        <v>2.0999999999999999E-3</v>
      </c>
      <c r="AA56" s="25">
        <f>'Risk Factors'!T56</f>
        <v>-1.076E-2</v>
      </c>
      <c r="AB56" s="25">
        <f>'Risk Factors'!U56</f>
        <v>-4.5299999999999993E-3</v>
      </c>
      <c r="AC56" s="25">
        <f>BMG!F56</f>
        <v>2.2947000000000002E-3</v>
      </c>
      <c r="AE56" s="6"/>
      <c r="AG56" s="6"/>
      <c r="AI56" s="6"/>
      <c r="AK56" s="6"/>
      <c r="AM56" s="6"/>
      <c r="AO56" s="6"/>
      <c r="AQ56" s="6"/>
      <c r="AS56" s="6"/>
      <c r="AU56" s="6"/>
      <c r="AW56" s="6"/>
      <c r="AY56" s="6"/>
      <c r="BA56" s="6"/>
      <c r="BC56" s="6"/>
      <c r="BE56" s="6"/>
      <c r="BG56" s="6"/>
      <c r="BI56" s="6"/>
      <c r="BK56" s="6"/>
      <c r="BM56" s="6"/>
      <c r="BO56" s="6"/>
      <c r="BQ56" s="6"/>
      <c r="BS56" s="6"/>
      <c r="BU56" s="6"/>
      <c r="BW56" s="6"/>
      <c r="BY56" s="6"/>
      <c r="CA56" s="6"/>
      <c r="CC56" s="6"/>
      <c r="CE56" s="6"/>
      <c r="CG56" s="6"/>
      <c r="CI56" s="6"/>
      <c r="CK56" s="6"/>
      <c r="CM56" s="6"/>
      <c r="CO56" s="6"/>
      <c r="CQ56" s="6"/>
      <c r="CS56" s="6"/>
      <c r="CU56" s="6"/>
      <c r="CW56" s="6"/>
      <c r="CY56" s="6"/>
      <c r="DA56" s="6"/>
      <c r="DC56" s="6"/>
      <c r="DE56" s="6"/>
      <c r="DG56" s="6"/>
      <c r="DI56" s="6"/>
      <c r="DK56" s="6"/>
      <c r="DM56" s="6"/>
      <c r="DO56" s="6"/>
      <c r="DQ56" s="6"/>
      <c r="DS56" s="6"/>
      <c r="DU56" s="6"/>
      <c r="DW56" s="6"/>
      <c r="DY56" s="6"/>
      <c r="EA56" s="6"/>
      <c r="EC56" s="6"/>
      <c r="EE56" s="6"/>
      <c r="EG56" s="6"/>
      <c r="EI56" s="6"/>
      <c r="EK56" s="6"/>
      <c r="EM56" s="6"/>
      <c r="EO56" s="6"/>
      <c r="EQ56" s="6"/>
      <c r="ES56" s="6"/>
      <c r="EU56" s="6"/>
      <c r="EW56" s="6"/>
      <c r="EY56" s="6"/>
      <c r="FA56" s="6"/>
      <c r="FC56" s="6"/>
      <c r="FE56" s="6"/>
      <c r="FG56" s="6"/>
      <c r="FI56" s="6"/>
      <c r="FK56" s="6"/>
      <c r="FM56" s="6"/>
      <c r="FO56" s="6"/>
      <c r="FQ56" s="6"/>
      <c r="FS56" s="6"/>
      <c r="FU56" s="6"/>
      <c r="FW56" s="6"/>
      <c r="FY56" s="6"/>
      <c r="GA56" s="6"/>
      <c r="GC56" s="6"/>
      <c r="GE56" s="6"/>
    </row>
    <row r="57" spans="5:187">
      <c r="E57" s="421">
        <v>41882</v>
      </c>
      <c r="F57" s="25">
        <f>'Risk Factors'!F57</f>
        <v>1.9300000000000001E-2</v>
      </c>
      <c r="G57" s="25">
        <f>'Risk Factors'!G57</f>
        <v>-4.7000000000000002E-3</v>
      </c>
      <c r="H57" s="25">
        <f>'Risk Factors'!H57</f>
        <v>-8.0000000000000002E-3</v>
      </c>
      <c r="I57" s="25">
        <f>'Risk Factors'!I57</f>
        <v>4.1000000000000003E-3</v>
      </c>
      <c r="J57" s="25">
        <f>BMG!F57</f>
        <v>1.5625000000000001E-3</v>
      </c>
      <c r="K57" s="25">
        <f>'Risk Factors'!J57</f>
        <v>0</v>
      </c>
      <c r="L57" s="102"/>
      <c r="M57" s="421">
        <v>41882</v>
      </c>
      <c r="N57" s="25">
        <f>'Risk Factors'!F57</f>
        <v>1.9300000000000001E-2</v>
      </c>
      <c r="O57" s="25">
        <f>'Risk Factors'!M57</f>
        <v>-3.2799999999999999E-3</v>
      </c>
      <c r="P57" s="25">
        <f>'Risk Factors'!N57</f>
        <v>1.01E-3</v>
      </c>
      <c r="Q57" s="25">
        <f>'Risk Factors'!O57</f>
        <v>4.3699999999999998E-3</v>
      </c>
      <c r="R57" s="25">
        <f>'Risk Factors'!P57</f>
        <v>1.321E-2</v>
      </c>
      <c r="S57" s="25">
        <f>'Risk Factors'!R57</f>
        <v>7.28E-3</v>
      </c>
      <c r="T57" s="25">
        <f>'Risk Factors'!S57</f>
        <v>-1.06E-3</v>
      </c>
      <c r="U57" s="25">
        <f>BMG!F57</f>
        <v>1.5625000000000001E-3</v>
      </c>
      <c r="V57" s="25"/>
      <c r="W57" s="421">
        <v>41882</v>
      </c>
      <c r="X57" s="25">
        <f>'Risk Factors'!F57</f>
        <v>1.9300000000000001E-2</v>
      </c>
      <c r="Y57" s="25">
        <f>'Risk Factors'!G57</f>
        <v>-4.7000000000000002E-3</v>
      </c>
      <c r="Z57" s="25">
        <f>'Risk Factors'!H57</f>
        <v>-8.0000000000000002E-3</v>
      </c>
      <c r="AA57" s="25">
        <f>'Risk Factors'!T57</f>
        <v>-1.06E-3</v>
      </c>
      <c r="AB57" s="25">
        <f>'Risk Factors'!U57</f>
        <v>6.2699999999999995E-3</v>
      </c>
      <c r="AC57" s="25">
        <f>BMG!F57</f>
        <v>1.5625000000000001E-3</v>
      </c>
      <c r="AE57" s="6"/>
      <c r="AG57" s="6"/>
      <c r="AI57" s="6"/>
      <c r="AK57" s="6"/>
      <c r="AM57" s="6"/>
      <c r="AO57" s="6"/>
      <c r="AQ57" s="6"/>
      <c r="AS57" s="6"/>
      <c r="AU57" s="6"/>
      <c r="AW57" s="6"/>
      <c r="AY57" s="6"/>
      <c r="BA57" s="6"/>
      <c r="BC57" s="6"/>
      <c r="BE57" s="6"/>
      <c r="BG57" s="6"/>
      <c r="BI57" s="6"/>
      <c r="BK57" s="6"/>
      <c r="BM57" s="6"/>
      <c r="BO57" s="6"/>
      <c r="BQ57" s="6"/>
      <c r="BS57" s="6"/>
      <c r="BU57" s="6"/>
      <c r="BW57" s="6"/>
      <c r="BY57" s="6"/>
      <c r="CA57" s="6"/>
      <c r="CC57" s="6"/>
      <c r="CE57" s="6"/>
      <c r="CG57" s="6"/>
      <c r="CI57" s="6"/>
      <c r="CK57" s="6"/>
      <c r="CM57" s="6"/>
      <c r="CO57" s="6"/>
      <c r="CQ57" s="6"/>
      <c r="CS57" s="6"/>
      <c r="CU57" s="6"/>
      <c r="CW57" s="6"/>
      <c r="CY57" s="6"/>
      <c r="DA57" s="6"/>
      <c r="DC57" s="6"/>
      <c r="DE57" s="6"/>
      <c r="DG57" s="6"/>
      <c r="DI57" s="6"/>
      <c r="DK57" s="6"/>
      <c r="DM57" s="6"/>
      <c r="DO57" s="6"/>
      <c r="DQ57" s="6"/>
      <c r="DS57" s="6"/>
      <c r="DU57" s="6"/>
      <c r="DW57" s="6"/>
      <c r="DY57" s="6"/>
      <c r="EA57" s="6"/>
      <c r="EC57" s="6"/>
      <c r="EE57" s="6"/>
      <c r="EG57" s="6"/>
      <c r="EI57" s="6"/>
      <c r="EK57" s="6"/>
      <c r="EM57" s="6"/>
      <c r="EO57" s="6"/>
      <c r="EQ57" s="6"/>
      <c r="ES57" s="6"/>
      <c r="EU57" s="6"/>
      <c r="EW57" s="6"/>
      <c r="EY57" s="6"/>
      <c r="FA57" s="6"/>
      <c r="FC57" s="6"/>
      <c r="FE57" s="6"/>
      <c r="FG57" s="6"/>
      <c r="FI57" s="6"/>
      <c r="FK57" s="6"/>
      <c r="FM57" s="6"/>
      <c r="FO57" s="6"/>
      <c r="FQ57" s="6"/>
      <c r="FS57" s="6"/>
      <c r="FU57" s="6"/>
      <c r="FW57" s="6"/>
      <c r="FY57" s="6"/>
      <c r="GA57" s="6"/>
      <c r="GC57" s="6"/>
      <c r="GE57" s="6"/>
    </row>
    <row r="58" spans="5:187">
      <c r="E58" s="421">
        <v>41912</v>
      </c>
      <c r="F58" s="25">
        <f>'Risk Factors'!F58</f>
        <v>-3.09E-2</v>
      </c>
      <c r="G58" s="25">
        <f>'Risk Factors'!G58</f>
        <v>-2.6800000000000001E-2</v>
      </c>
      <c r="H58" s="25">
        <f>'Risk Factors'!H58</f>
        <v>-8.6E-3</v>
      </c>
      <c r="I58" s="25">
        <f>'Risk Factors'!I58</f>
        <v>1.03E-2</v>
      </c>
      <c r="J58" s="25">
        <f>BMG!F58</f>
        <v>-3.9822499999999997E-2</v>
      </c>
      <c r="K58" s="25">
        <f>'Risk Factors'!J58</f>
        <v>0</v>
      </c>
      <c r="L58" s="102"/>
      <c r="M58" s="421">
        <v>41912</v>
      </c>
      <c r="N58" s="25">
        <f>'Risk Factors'!F58</f>
        <v>-3.09E-2</v>
      </c>
      <c r="O58" s="25">
        <f>'Risk Factors'!M58</f>
        <v>-1.873E-2</v>
      </c>
      <c r="P58" s="25">
        <f>'Risk Factors'!N58</f>
        <v>-1.9E-2</v>
      </c>
      <c r="Q58" s="25">
        <f>'Risk Factors'!O58</f>
        <v>-2.299E-2</v>
      </c>
      <c r="R58" s="25">
        <f>'Risk Factors'!P58</f>
        <v>-2.3300000000000001E-2</v>
      </c>
      <c r="S58" s="25">
        <f>'Risk Factors'!R58</f>
        <v>-2.64E-2</v>
      </c>
      <c r="T58" s="25">
        <f>'Risk Factors'!S58</f>
        <v>-2.8230000000000002E-2</v>
      </c>
      <c r="U58" s="25">
        <f>BMG!F58</f>
        <v>-3.9822499999999997E-2</v>
      </c>
      <c r="V58" s="25"/>
      <c r="W58" s="421">
        <v>41912</v>
      </c>
      <c r="X58" s="25">
        <f>'Risk Factors'!F58</f>
        <v>-3.09E-2</v>
      </c>
      <c r="Y58" s="25">
        <f>'Risk Factors'!G58</f>
        <v>-2.6800000000000001E-2</v>
      </c>
      <c r="Z58" s="25">
        <f>'Risk Factors'!H58</f>
        <v>-8.6E-3</v>
      </c>
      <c r="AA58" s="25">
        <f>'Risk Factors'!T58</f>
        <v>-2.8230000000000002E-2</v>
      </c>
      <c r="AB58" s="25">
        <f>'Risk Factors'!U58</f>
        <v>-7.4000000000000003E-3</v>
      </c>
      <c r="AC58" s="25">
        <f>BMG!F58</f>
        <v>-3.9822499999999997E-2</v>
      </c>
      <c r="AE58" s="6"/>
      <c r="AG58" s="6"/>
      <c r="AI58" s="6"/>
      <c r="AK58" s="6"/>
      <c r="AM58" s="6"/>
      <c r="AO58" s="6"/>
      <c r="AQ58" s="6"/>
      <c r="AS58" s="6"/>
      <c r="AU58" s="6"/>
      <c r="AW58" s="6"/>
      <c r="AY58" s="6"/>
      <c r="BA58" s="6"/>
      <c r="BC58" s="6"/>
      <c r="BE58" s="6"/>
      <c r="BG58" s="6"/>
      <c r="BI58" s="6"/>
      <c r="BK58" s="6"/>
      <c r="BM58" s="6"/>
      <c r="BO58" s="6"/>
      <c r="BQ58" s="6"/>
      <c r="BS58" s="6"/>
      <c r="BU58" s="6"/>
      <c r="BW58" s="6"/>
      <c r="BY58" s="6"/>
      <c r="CA58" s="6"/>
      <c r="CC58" s="6"/>
      <c r="CE58" s="6"/>
      <c r="CG58" s="6"/>
      <c r="CI58" s="6"/>
      <c r="CK58" s="6"/>
      <c r="CM58" s="6"/>
      <c r="CO58" s="6"/>
      <c r="CQ58" s="6"/>
      <c r="CS58" s="6"/>
      <c r="CU58" s="6"/>
      <c r="CW58" s="6"/>
      <c r="CY58" s="6"/>
      <c r="DA58" s="6"/>
      <c r="DC58" s="6"/>
      <c r="DE58" s="6"/>
      <c r="DG58" s="6"/>
      <c r="DI58" s="6"/>
      <c r="DK58" s="6"/>
      <c r="DM58" s="6"/>
      <c r="DO58" s="6"/>
      <c r="DQ58" s="6"/>
      <c r="DS58" s="6"/>
      <c r="DU58" s="6"/>
      <c r="DW58" s="6"/>
      <c r="DY58" s="6"/>
      <c r="EA58" s="6"/>
      <c r="EC58" s="6"/>
      <c r="EE58" s="6"/>
      <c r="EG58" s="6"/>
      <c r="EI58" s="6"/>
      <c r="EK58" s="6"/>
      <c r="EM58" s="6"/>
      <c r="EO58" s="6"/>
      <c r="EQ58" s="6"/>
      <c r="ES58" s="6"/>
      <c r="EU58" s="6"/>
      <c r="EW58" s="6"/>
      <c r="EY58" s="6"/>
      <c r="FA58" s="6"/>
      <c r="FC58" s="6"/>
      <c r="FE58" s="6"/>
      <c r="FG58" s="6"/>
      <c r="FI58" s="6"/>
      <c r="FK58" s="6"/>
      <c r="FM58" s="6"/>
      <c r="FO58" s="6"/>
      <c r="FQ58" s="6"/>
      <c r="FS58" s="6"/>
      <c r="FU58" s="6"/>
      <c r="FW58" s="6"/>
      <c r="FY58" s="6"/>
      <c r="GA58" s="6"/>
      <c r="GC58" s="6"/>
      <c r="GE58" s="6"/>
    </row>
    <row r="59" spans="5:187">
      <c r="E59" s="421">
        <v>41943</v>
      </c>
      <c r="F59" s="25">
        <f>'Risk Factors'!F59</f>
        <v>3.3999999999999998E-3</v>
      </c>
      <c r="G59" s="25">
        <f>'Risk Factors'!G59</f>
        <v>-1.6999999999999999E-3</v>
      </c>
      <c r="H59" s="25">
        <f>'Risk Factors'!H59</f>
        <v>-3.04E-2</v>
      </c>
      <c r="I59" s="25">
        <f>'Risk Factors'!I59</f>
        <v>-2.8999999999999998E-3</v>
      </c>
      <c r="J59" s="25">
        <f>BMG!F59</f>
        <v>-9.8171999999999999E-3</v>
      </c>
      <c r="K59" s="25">
        <f>'Risk Factors'!J59</f>
        <v>0</v>
      </c>
      <c r="L59" s="102"/>
      <c r="M59" s="421">
        <v>41943</v>
      </c>
      <c r="N59" s="25">
        <f>'Risk Factors'!F59</f>
        <v>3.3999999999999998E-3</v>
      </c>
      <c r="O59" s="25">
        <f>'Risk Factors'!M59</f>
        <v>-2.5999999999999999E-3</v>
      </c>
      <c r="P59" s="25">
        <f>'Risk Factors'!N59</f>
        <v>7.1000000000000002E-4</v>
      </c>
      <c r="Q59" s="25">
        <f>'Risk Factors'!O59</f>
        <v>2.5200000000000001E-3</v>
      </c>
      <c r="R59" s="25">
        <f>'Risk Factors'!P59</f>
        <v>7.8499999999999993E-3</v>
      </c>
      <c r="S59" s="25">
        <f>'Risk Factors'!R59</f>
        <v>6.0800000000000003E-3</v>
      </c>
      <c r="T59" s="25">
        <f>'Risk Factors'!S59</f>
        <v>-3.65E-3</v>
      </c>
      <c r="U59" s="25">
        <f>BMG!F59</f>
        <v>-9.8171999999999999E-3</v>
      </c>
      <c r="V59" s="25"/>
      <c r="W59" s="421">
        <v>41943</v>
      </c>
      <c r="X59" s="25">
        <f>'Risk Factors'!F59</f>
        <v>3.3999999999999998E-3</v>
      </c>
      <c r="Y59" s="25">
        <f>'Risk Factors'!G59</f>
        <v>-1.6999999999999999E-3</v>
      </c>
      <c r="Z59" s="25">
        <f>'Risk Factors'!H59</f>
        <v>-3.04E-2</v>
      </c>
      <c r="AA59" s="25">
        <f>'Risk Factors'!T59</f>
        <v>-3.65E-3</v>
      </c>
      <c r="AB59" s="25">
        <f>'Risk Factors'!U59</f>
        <v>5.3700000000000006E-3</v>
      </c>
      <c r="AC59" s="25">
        <f>BMG!F59</f>
        <v>-9.8171999999999999E-3</v>
      </c>
      <c r="AE59" s="6"/>
      <c r="AG59" s="6"/>
      <c r="AI59" s="6"/>
      <c r="AK59" s="6"/>
      <c r="AM59" s="6"/>
      <c r="AO59" s="6"/>
      <c r="AQ59" s="6"/>
      <c r="AS59" s="6"/>
      <c r="AU59" s="6"/>
      <c r="AW59" s="6"/>
      <c r="AY59" s="6"/>
      <c r="BA59" s="6"/>
      <c r="BC59" s="6"/>
      <c r="BE59" s="6"/>
      <c r="BG59" s="6"/>
      <c r="BI59" s="6"/>
      <c r="BK59" s="6"/>
      <c r="BM59" s="6"/>
      <c r="BO59" s="6"/>
      <c r="BQ59" s="6"/>
      <c r="BS59" s="6"/>
      <c r="BU59" s="6"/>
      <c r="BW59" s="6"/>
      <c r="BY59" s="6"/>
      <c r="CA59" s="6"/>
      <c r="CC59" s="6"/>
      <c r="CE59" s="6"/>
      <c r="CG59" s="6"/>
      <c r="CI59" s="6"/>
      <c r="CK59" s="6"/>
      <c r="CM59" s="6"/>
      <c r="CO59" s="6"/>
      <c r="CQ59" s="6"/>
      <c r="CS59" s="6"/>
      <c r="CU59" s="6"/>
      <c r="CW59" s="6"/>
      <c r="CY59" s="6"/>
      <c r="DA59" s="6"/>
      <c r="DC59" s="6"/>
      <c r="DE59" s="6"/>
      <c r="DG59" s="6"/>
      <c r="DI59" s="6"/>
      <c r="DK59" s="6"/>
      <c r="DM59" s="6"/>
      <c r="DO59" s="6"/>
      <c r="DQ59" s="6"/>
      <c r="DS59" s="6"/>
      <c r="DU59" s="6"/>
      <c r="DW59" s="6"/>
      <c r="DY59" s="6"/>
      <c r="EA59" s="6"/>
      <c r="EC59" s="6"/>
      <c r="EE59" s="6"/>
      <c r="EG59" s="6"/>
      <c r="EI59" s="6"/>
      <c r="EK59" s="6"/>
      <c r="EM59" s="6"/>
      <c r="EO59" s="6"/>
      <c r="EQ59" s="6"/>
      <c r="ES59" s="6"/>
      <c r="EU59" s="6"/>
      <c r="EW59" s="6"/>
      <c r="EY59" s="6"/>
      <c r="FA59" s="6"/>
      <c r="FC59" s="6"/>
      <c r="FE59" s="6"/>
      <c r="FG59" s="6"/>
      <c r="FI59" s="6"/>
      <c r="FK59" s="6"/>
      <c r="FM59" s="6"/>
      <c r="FO59" s="6"/>
      <c r="FQ59" s="6"/>
      <c r="FS59" s="6"/>
      <c r="FU59" s="6"/>
      <c r="FW59" s="6"/>
      <c r="FY59" s="6"/>
      <c r="GA59" s="6"/>
      <c r="GC59" s="6"/>
      <c r="GE59" s="6"/>
    </row>
    <row r="60" spans="5:187">
      <c r="E60" s="421">
        <v>41973</v>
      </c>
      <c r="F60" s="25">
        <f>'Risk Factors'!F60</f>
        <v>1.6500000000000001E-2</v>
      </c>
      <c r="G60" s="25">
        <f>'Risk Factors'!G60</f>
        <v>-2.0899999999999998E-2</v>
      </c>
      <c r="H60" s="25">
        <f>'Risk Factors'!H60</f>
        <v>-2.1399999999999999E-2</v>
      </c>
      <c r="I60" s="25">
        <f>'Risk Factors'!I60</f>
        <v>7.1000000000000004E-3</v>
      </c>
      <c r="J60" s="25">
        <f>BMG!F60</f>
        <v>-5.2712000000000002E-2</v>
      </c>
      <c r="K60" s="25">
        <f>'Risk Factors'!J60</f>
        <v>0</v>
      </c>
      <c r="L60" s="102"/>
      <c r="M60" s="421">
        <v>41973</v>
      </c>
      <c r="N60" s="25">
        <f>'Risk Factors'!F60</f>
        <v>1.6500000000000001E-2</v>
      </c>
      <c r="O60" s="25">
        <f>'Risk Factors'!M60</f>
        <v>-4.6800000000000001E-3</v>
      </c>
      <c r="P60" s="25">
        <f>'Risk Factors'!N60</f>
        <v>-1.3500000000000001E-3</v>
      </c>
      <c r="Q60" s="25">
        <f>'Risk Factors'!O60</f>
        <v>1.7600000000000001E-3</v>
      </c>
      <c r="R60" s="25">
        <f>'Risk Factors'!P60</f>
        <v>6.2599999999999999E-3</v>
      </c>
      <c r="S60" s="25">
        <f>'Risk Factors'!R60</f>
        <v>-7.0299999999999998E-3</v>
      </c>
      <c r="T60" s="25">
        <f>'Risk Factors'!S60</f>
        <v>-1.048E-2</v>
      </c>
      <c r="U60" s="25">
        <f>BMG!F60</f>
        <v>-5.2712000000000002E-2</v>
      </c>
      <c r="V60" s="25"/>
      <c r="W60" s="421">
        <v>41973</v>
      </c>
      <c r="X60" s="25">
        <f>'Risk Factors'!F60</f>
        <v>1.6500000000000001E-2</v>
      </c>
      <c r="Y60" s="25">
        <f>'Risk Factors'!G60</f>
        <v>-2.0899999999999998E-2</v>
      </c>
      <c r="Z60" s="25">
        <f>'Risk Factors'!H60</f>
        <v>-2.1399999999999999E-2</v>
      </c>
      <c r="AA60" s="25">
        <f>'Risk Factors'!T60</f>
        <v>-1.048E-2</v>
      </c>
      <c r="AB60" s="25">
        <f>'Risk Factors'!U60</f>
        <v>-5.6799999999999993E-3</v>
      </c>
      <c r="AC60" s="25">
        <f>BMG!F60</f>
        <v>-5.2712000000000002E-2</v>
      </c>
      <c r="AE60" s="6"/>
      <c r="AG60" s="6"/>
      <c r="AI60" s="6"/>
      <c r="AK60" s="6"/>
      <c r="AM60" s="6"/>
      <c r="AO60" s="6"/>
      <c r="AQ60" s="6"/>
      <c r="AS60" s="6"/>
      <c r="AU60" s="6"/>
      <c r="AW60" s="6"/>
      <c r="AY60" s="6"/>
      <c r="BA60" s="6"/>
      <c r="BC60" s="6"/>
      <c r="BE60" s="6"/>
      <c r="BG60" s="6"/>
      <c r="BI60" s="6"/>
      <c r="BK60" s="6"/>
      <c r="BM60" s="6"/>
      <c r="BO60" s="6"/>
      <c r="BQ60" s="6"/>
      <c r="BS60" s="6"/>
      <c r="BU60" s="6"/>
      <c r="BW60" s="6"/>
      <c r="BY60" s="6"/>
      <c r="CA60" s="6"/>
      <c r="CC60" s="6"/>
      <c r="CE60" s="6"/>
      <c r="CG60" s="6"/>
      <c r="CI60" s="6"/>
      <c r="CK60" s="6"/>
      <c r="CM60" s="6"/>
      <c r="CO60" s="6"/>
      <c r="CQ60" s="6"/>
      <c r="CS60" s="6"/>
      <c r="CU60" s="6"/>
      <c r="CW60" s="6"/>
      <c r="CY60" s="6"/>
      <c r="DA60" s="6"/>
      <c r="DC60" s="6"/>
      <c r="DE60" s="6"/>
      <c r="DG60" s="6"/>
      <c r="DI60" s="6"/>
      <c r="DK60" s="6"/>
      <c r="DM60" s="6"/>
      <c r="DO60" s="6"/>
      <c r="DQ60" s="6"/>
      <c r="DS60" s="6"/>
      <c r="DU60" s="6"/>
      <c r="DW60" s="6"/>
      <c r="DY60" s="6"/>
      <c r="EA60" s="6"/>
      <c r="EC60" s="6"/>
      <c r="EE60" s="6"/>
      <c r="EG60" s="6"/>
      <c r="EI60" s="6"/>
      <c r="EK60" s="6"/>
      <c r="EM60" s="6"/>
      <c r="EO60" s="6"/>
      <c r="EQ60" s="6"/>
      <c r="ES60" s="6"/>
      <c r="EU60" s="6"/>
      <c r="EW60" s="6"/>
      <c r="EY60" s="6"/>
      <c r="FA60" s="6"/>
      <c r="FC60" s="6"/>
      <c r="FE60" s="6"/>
      <c r="FG60" s="6"/>
      <c r="FI60" s="6"/>
      <c r="FK60" s="6"/>
      <c r="FM60" s="6"/>
      <c r="FO60" s="6"/>
      <c r="FQ60" s="6"/>
      <c r="FS60" s="6"/>
      <c r="FU60" s="6"/>
      <c r="FW60" s="6"/>
      <c r="FY60" s="6"/>
      <c r="GA60" s="6"/>
      <c r="GC60" s="6"/>
      <c r="GE60" s="6"/>
    </row>
    <row r="61" spans="5:187">
      <c r="E61" s="421">
        <v>42004</v>
      </c>
      <c r="F61" s="25">
        <f>'Risk Factors'!F61</f>
        <v>-1.44E-2</v>
      </c>
      <c r="G61" s="25">
        <f>'Risk Factors'!G61</f>
        <v>1.7600000000000001E-2</v>
      </c>
      <c r="H61" s="25">
        <f>'Risk Factors'!H61</f>
        <v>-1.1999999999999999E-3</v>
      </c>
      <c r="I61" s="25">
        <f>'Risk Factors'!I61</f>
        <v>1.12E-2</v>
      </c>
      <c r="J61" s="25">
        <f>BMG!F61</f>
        <v>3.5618999999999998E-3</v>
      </c>
      <c r="K61" s="25">
        <f>'Risk Factors'!J61</f>
        <v>0</v>
      </c>
      <c r="L61" s="102"/>
      <c r="M61" s="421">
        <v>42004</v>
      </c>
      <c r="N61" s="25">
        <f>'Risk Factors'!F61</f>
        <v>-1.44E-2</v>
      </c>
      <c r="O61" s="25">
        <f>'Risk Factors'!M61</f>
        <v>-1.256E-2</v>
      </c>
      <c r="P61" s="25">
        <f>'Risk Factors'!N61</f>
        <v>-1.261E-2</v>
      </c>
      <c r="Q61" s="25">
        <f>'Risk Factors'!O61</f>
        <v>-1.3180000000000001E-2</v>
      </c>
      <c r="R61" s="25">
        <f>'Risk Factors'!P61</f>
        <v>-8.3700000000000007E-3</v>
      </c>
      <c r="S61" s="25">
        <f>'Risk Factors'!R61</f>
        <v>-2.2769999999999999E-2</v>
      </c>
      <c r="T61" s="25">
        <f>'Risk Factors'!S61</f>
        <v>-1.017E-2</v>
      </c>
      <c r="U61" s="25">
        <f>BMG!F61</f>
        <v>3.5618999999999998E-3</v>
      </c>
      <c r="V61" s="25"/>
      <c r="W61" s="421">
        <v>42004</v>
      </c>
      <c r="X61" s="25">
        <f>'Risk Factors'!F61</f>
        <v>-1.44E-2</v>
      </c>
      <c r="Y61" s="25">
        <f>'Risk Factors'!G61</f>
        <v>1.7600000000000001E-2</v>
      </c>
      <c r="Z61" s="25">
        <f>'Risk Factors'!H61</f>
        <v>-1.1999999999999999E-3</v>
      </c>
      <c r="AA61" s="25">
        <f>'Risk Factors'!T61</f>
        <v>-1.017E-2</v>
      </c>
      <c r="AB61" s="25">
        <f>'Risk Factors'!U61</f>
        <v>-1.0159999999999999E-2</v>
      </c>
      <c r="AC61" s="25">
        <f>BMG!F61</f>
        <v>3.5618999999999998E-3</v>
      </c>
      <c r="AE61" s="6"/>
      <c r="AG61" s="6"/>
      <c r="AI61" s="6"/>
      <c r="AK61" s="6"/>
      <c r="AM61" s="6"/>
      <c r="AO61" s="6"/>
      <c r="AQ61" s="6"/>
      <c r="AS61" s="6"/>
      <c r="AU61" s="6"/>
      <c r="AW61" s="6"/>
      <c r="AY61" s="6"/>
      <c r="BA61" s="6"/>
      <c r="BC61" s="6"/>
      <c r="BE61" s="6"/>
      <c r="BG61" s="6"/>
      <c r="BI61" s="6"/>
      <c r="BK61" s="6"/>
      <c r="BM61" s="6"/>
      <c r="BO61" s="6"/>
      <c r="BQ61" s="6"/>
      <c r="BS61" s="6"/>
      <c r="BU61" s="6"/>
      <c r="BW61" s="6"/>
      <c r="BY61" s="6"/>
      <c r="CA61" s="6"/>
      <c r="CC61" s="6"/>
      <c r="CE61" s="6"/>
      <c r="CG61" s="6"/>
      <c r="CI61" s="6"/>
      <c r="CK61" s="6"/>
      <c r="CM61" s="6"/>
      <c r="CO61" s="6"/>
      <c r="CQ61" s="6"/>
      <c r="CS61" s="6"/>
      <c r="CU61" s="6"/>
      <c r="CW61" s="6"/>
      <c r="CY61" s="6"/>
      <c r="DA61" s="6"/>
      <c r="DC61" s="6"/>
      <c r="DE61" s="6"/>
      <c r="DG61" s="6"/>
      <c r="DI61" s="6"/>
      <c r="DK61" s="6"/>
      <c r="DM61" s="6"/>
      <c r="DO61" s="6"/>
      <c r="DQ61" s="6"/>
      <c r="DS61" s="6"/>
      <c r="DU61" s="6"/>
      <c r="DW61" s="6"/>
      <c r="DY61" s="6"/>
      <c r="EA61" s="6"/>
      <c r="EC61" s="6"/>
      <c r="EE61" s="6"/>
      <c r="EG61" s="6"/>
      <c r="EI61" s="6"/>
      <c r="EK61" s="6"/>
      <c r="EM61" s="6"/>
      <c r="EO61" s="6"/>
      <c r="EQ61" s="6"/>
      <c r="ES61" s="6"/>
      <c r="EU61" s="6"/>
      <c r="EW61" s="6"/>
      <c r="EY61" s="6"/>
      <c r="FA61" s="6"/>
      <c r="FC61" s="6"/>
      <c r="FE61" s="6"/>
      <c r="FG61" s="6"/>
      <c r="FI61" s="6"/>
      <c r="FK61" s="6"/>
      <c r="FM61" s="6"/>
      <c r="FO61" s="6"/>
      <c r="FQ61" s="6"/>
      <c r="FS61" s="6"/>
      <c r="FU61" s="6"/>
      <c r="FW61" s="6"/>
      <c r="FY61" s="6"/>
      <c r="GA61" s="6"/>
      <c r="GC61" s="6"/>
      <c r="GE61" s="6"/>
    </row>
    <row r="62" spans="5:187">
      <c r="E62" s="421">
        <v>42035</v>
      </c>
      <c r="F62" s="25">
        <f>'Risk Factors'!F62</f>
        <v>-1.7500000000000002E-2</v>
      </c>
      <c r="G62" s="25">
        <f>'Risk Factors'!G62</f>
        <v>-2.9999999999999997E-4</v>
      </c>
      <c r="H62" s="25">
        <f>'Risk Factors'!H62</f>
        <v>-2.4400000000000002E-2</v>
      </c>
      <c r="I62" s="25">
        <f>'Risk Factors'!I62</f>
        <v>4.0500000000000001E-2</v>
      </c>
      <c r="J62" s="25">
        <f>BMG!F62</f>
        <v>-8.0824999999999994E-3</v>
      </c>
      <c r="K62" s="25">
        <f>'Risk Factors'!J62</f>
        <v>0</v>
      </c>
      <c r="L62" s="102"/>
      <c r="M62" s="421">
        <v>42035</v>
      </c>
      <c r="N62" s="25">
        <f>'Risk Factors'!F62</f>
        <v>-1.7500000000000002E-2</v>
      </c>
      <c r="O62" s="25">
        <f>'Risk Factors'!M62</f>
        <v>-2.01E-2</v>
      </c>
      <c r="P62" s="25">
        <f>'Risk Factors'!N62</f>
        <v>-1.225E-2</v>
      </c>
      <c r="Q62" s="25">
        <f>'Risk Factors'!O62</f>
        <v>-1.2370000000000001E-2</v>
      </c>
      <c r="R62" s="25">
        <f>'Risk Factors'!P62</f>
        <v>5.7600000000000004E-3</v>
      </c>
      <c r="S62" s="25">
        <f>'Risk Factors'!R62</f>
        <v>-9.5899999999999996E-3</v>
      </c>
      <c r="T62" s="25">
        <f>'Risk Factors'!S62</f>
        <v>-7.45E-3</v>
      </c>
      <c r="U62" s="25">
        <f>BMG!F62</f>
        <v>-8.0824999999999994E-3</v>
      </c>
      <c r="V62" s="25"/>
      <c r="W62" s="421">
        <v>42035</v>
      </c>
      <c r="X62" s="25">
        <f>'Risk Factors'!F62</f>
        <v>-1.7500000000000002E-2</v>
      </c>
      <c r="Y62" s="25">
        <f>'Risk Factors'!G62</f>
        <v>-2.9999999999999997E-4</v>
      </c>
      <c r="Z62" s="25">
        <f>'Risk Factors'!H62</f>
        <v>-2.4400000000000002E-2</v>
      </c>
      <c r="AA62" s="25">
        <f>'Risk Factors'!T62</f>
        <v>-7.45E-3</v>
      </c>
      <c r="AB62" s="25">
        <f>'Risk Factors'!U62</f>
        <v>2.6600000000000009E-3</v>
      </c>
      <c r="AC62" s="25">
        <f>BMG!F62</f>
        <v>-8.0824999999999994E-3</v>
      </c>
      <c r="AE62" s="6"/>
      <c r="AG62" s="6"/>
      <c r="AI62" s="6"/>
      <c r="AK62" s="6"/>
      <c r="AM62" s="6"/>
      <c r="AO62" s="6"/>
      <c r="AQ62" s="6"/>
      <c r="AS62" s="6"/>
      <c r="AU62" s="6"/>
      <c r="AW62" s="6"/>
      <c r="AY62" s="6"/>
      <c r="BA62" s="6"/>
      <c r="BC62" s="6"/>
      <c r="BE62" s="6"/>
      <c r="BG62" s="6"/>
      <c r="BI62" s="6"/>
      <c r="BK62" s="6"/>
      <c r="BM62" s="6"/>
      <c r="BO62" s="6"/>
      <c r="BQ62" s="6"/>
      <c r="BS62" s="6"/>
      <c r="BU62" s="6"/>
      <c r="BW62" s="6"/>
      <c r="BY62" s="6"/>
      <c r="CA62" s="6"/>
      <c r="CC62" s="6"/>
      <c r="CE62" s="6"/>
      <c r="CG62" s="6"/>
      <c r="CI62" s="6"/>
      <c r="CK62" s="6"/>
      <c r="CM62" s="6"/>
      <c r="CO62" s="6"/>
      <c r="CQ62" s="6"/>
      <c r="CS62" s="6"/>
      <c r="CU62" s="6"/>
      <c r="CW62" s="6"/>
      <c r="CY62" s="6"/>
      <c r="DA62" s="6"/>
      <c r="DC62" s="6"/>
      <c r="DE62" s="6"/>
      <c r="DG62" s="6"/>
      <c r="DI62" s="6"/>
      <c r="DK62" s="6"/>
      <c r="DM62" s="6"/>
      <c r="DO62" s="6"/>
      <c r="DQ62" s="6"/>
      <c r="DS62" s="6"/>
      <c r="DU62" s="6"/>
      <c r="DW62" s="6"/>
      <c r="DY62" s="6"/>
      <c r="EA62" s="6"/>
      <c r="EC62" s="6"/>
      <c r="EE62" s="6"/>
      <c r="EG62" s="6"/>
      <c r="EI62" s="6"/>
      <c r="EK62" s="6"/>
      <c r="EM62" s="6"/>
      <c r="EO62" s="6"/>
      <c r="EQ62" s="6"/>
      <c r="ES62" s="6"/>
      <c r="EU62" s="6"/>
      <c r="EW62" s="6"/>
      <c r="EY62" s="6"/>
      <c r="FA62" s="6"/>
      <c r="FC62" s="6"/>
      <c r="FE62" s="6"/>
      <c r="FG62" s="6"/>
      <c r="FI62" s="6"/>
      <c r="FK62" s="6"/>
      <c r="FM62" s="6"/>
      <c r="FO62" s="6"/>
      <c r="FQ62" s="6"/>
      <c r="FS62" s="6"/>
      <c r="FU62" s="6"/>
      <c r="FW62" s="6"/>
      <c r="FY62" s="6"/>
      <c r="GA62" s="6"/>
      <c r="GC62" s="6"/>
      <c r="GE62" s="6"/>
    </row>
    <row r="63" spans="5:187">
      <c r="E63" s="421">
        <v>42063</v>
      </c>
      <c r="F63" s="25">
        <f>'Risk Factors'!F63</f>
        <v>5.9299999999999999E-2</v>
      </c>
      <c r="G63" s="25">
        <f>'Risk Factors'!G63</f>
        <v>-1.6999999999999999E-3</v>
      </c>
      <c r="H63" s="25">
        <f>'Risk Factors'!H63</f>
        <v>-4.4999999999999997E-3</v>
      </c>
      <c r="I63" s="25">
        <f>'Risk Factors'!I63</f>
        <v>-2.4299999999999999E-2</v>
      </c>
      <c r="J63" s="25">
        <f>BMG!F63</f>
        <v>-3.9697999999999999E-3</v>
      </c>
      <c r="K63" s="25">
        <f>'Risk Factors'!J63</f>
        <v>0</v>
      </c>
      <c r="L63" s="102"/>
      <c r="M63" s="421">
        <v>42063</v>
      </c>
      <c r="N63" s="25">
        <f>'Risk Factors'!F63</f>
        <v>5.9299999999999999E-2</v>
      </c>
      <c r="O63" s="25">
        <f>'Risk Factors'!M63</f>
        <v>8.0000000000000004E-4</v>
      </c>
      <c r="P63" s="25">
        <f>'Risk Factors'!N63</f>
        <v>-1.2999999999999999E-4</v>
      </c>
      <c r="Q63" s="25">
        <f>'Risk Factors'!O63</f>
        <v>1E-4</v>
      </c>
      <c r="R63" s="25">
        <f>'Risk Factors'!P63</f>
        <v>-1.48E-3</v>
      </c>
      <c r="S63" s="25">
        <f>'Risk Factors'!R63</f>
        <v>2.426E-2</v>
      </c>
      <c r="T63" s="25">
        <f>'Risk Factors'!S63</f>
        <v>-7.5199999999999998E-3</v>
      </c>
      <c r="U63" s="25">
        <f>BMG!F63</f>
        <v>-3.9697999999999999E-3</v>
      </c>
      <c r="V63" s="25"/>
      <c r="W63" s="421">
        <v>42063</v>
      </c>
      <c r="X63" s="25">
        <f>'Risk Factors'!F63</f>
        <v>5.9299999999999999E-2</v>
      </c>
      <c r="Y63" s="25">
        <f>'Risk Factors'!G63</f>
        <v>-1.6999999999999999E-3</v>
      </c>
      <c r="Z63" s="25">
        <f>'Risk Factors'!H63</f>
        <v>-4.4999999999999997E-3</v>
      </c>
      <c r="AA63" s="25">
        <f>'Risk Factors'!T63</f>
        <v>-7.5199999999999998E-3</v>
      </c>
      <c r="AB63" s="25">
        <f>'Risk Factors'!U63</f>
        <v>2.4390000000000002E-2</v>
      </c>
      <c r="AC63" s="25">
        <f>BMG!F63</f>
        <v>-3.9697999999999999E-3</v>
      </c>
      <c r="AE63" s="6"/>
      <c r="AG63" s="6"/>
      <c r="AI63" s="6"/>
      <c r="AK63" s="6"/>
      <c r="AM63" s="6"/>
      <c r="AO63" s="6"/>
      <c r="AQ63" s="6"/>
      <c r="AS63" s="6"/>
      <c r="AU63" s="6"/>
      <c r="AW63" s="6"/>
      <c r="AY63" s="6"/>
      <c r="BA63" s="6"/>
      <c r="BC63" s="6"/>
      <c r="BE63" s="6"/>
      <c r="BG63" s="6"/>
      <c r="BI63" s="6"/>
      <c r="BK63" s="6"/>
      <c r="BM63" s="6"/>
      <c r="BO63" s="6"/>
      <c r="BQ63" s="6"/>
      <c r="BS63" s="6"/>
      <c r="BU63" s="6"/>
      <c r="BW63" s="6"/>
      <c r="BY63" s="6"/>
      <c r="CA63" s="6"/>
      <c r="CC63" s="6"/>
      <c r="CE63" s="6"/>
      <c r="CG63" s="6"/>
      <c r="CI63" s="6"/>
      <c r="CK63" s="6"/>
      <c r="CM63" s="6"/>
      <c r="CO63" s="6"/>
      <c r="CQ63" s="6"/>
      <c r="CS63" s="6"/>
      <c r="CU63" s="6"/>
      <c r="CW63" s="6"/>
      <c r="CY63" s="6"/>
      <c r="DA63" s="6"/>
      <c r="DC63" s="6"/>
      <c r="DE63" s="6"/>
      <c r="DG63" s="6"/>
      <c r="DI63" s="6"/>
      <c r="DK63" s="6"/>
      <c r="DM63" s="6"/>
      <c r="DO63" s="6"/>
      <c r="DQ63" s="6"/>
      <c r="DS63" s="6"/>
      <c r="DU63" s="6"/>
      <c r="DW63" s="6"/>
      <c r="DY63" s="6"/>
      <c r="EA63" s="6"/>
      <c r="EC63" s="6"/>
      <c r="EE63" s="6"/>
      <c r="EG63" s="6"/>
      <c r="EI63" s="6"/>
      <c r="EK63" s="6"/>
      <c r="EM63" s="6"/>
      <c r="EO63" s="6"/>
      <c r="EQ63" s="6"/>
      <c r="ES63" s="6"/>
      <c r="EU63" s="6"/>
      <c r="EW63" s="6"/>
      <c r="EY63" s="6"/>
      <c r="FA63" s="6"/>
      <c r="FC63" s="6"/>
      <c r="FE63" s="6"/>
      <c r="FG63" s="6"/>
      <c r="FI63" s="6"/>
      <c r="FK63" s="6"/>
      <c r="FM63" s="6"/>
      <c r="FO63" s="6"/>
      <c r="FQ63" s="6"/>
      <c r="FS63" s="6"/>
      <c r="FU63" s="6"/>
      <c r="FW63" s="6"/>
      <c r="FY63" s="6"/>
      <c r="GA63" s="6"/>
      <c r="GC63" s="6"/>
      <c r="GE63" s="6"/>
    </row>
    <row r="64" spans="5:187">
      <c r="E64" s="421">
        <v>42094</v>
      </c>
      <c r="F64" s="25">
        <f>'Risk Factors'!F64</f>
        <v>-1.18E-2</v>
      </c>
      <c r="G64" s="25">
        <f>'Risk Factors'!G64</f>
        <v>1.4E-2</v>
      </c>
      <c r="H64" s="25">
        <f>'Risk Factors'!H64</f>
        <v>-8.6E-3</v>
      </c>
      <c r="I64" s="25">
        <f>'Risk Factors'!I64</f>
        <v>1.8200000000000001E-2</v>
      </c>
      <c r="J64" s="25">
        <f>BMG!F64</f>
        <v>-2.2210199999999999E-2</v>
      </c>
      <c r="K64" s="25">
        <f>'Risk Factors'!J64</f>
        <v>0</v>
      </c>
      <c r="L64" s="102"/>
      <c r="M64" s="421">
        <v>42094</v>
      </c>
      <c r="N64" s="25">
        <f>'Risk Factors'!F64</f>
        <v>-1.18E-2</v>
      </c>
      <c r="O64" s="25">
        <f>'Risk Factors'!M64</f>
        <v>-1.248E-2</v>
      </c>
      <c r="P64" s="25">
        <f>'Risk Factors'!N64</f>
        <v>-9.5499999999999995E-3</v>
      </c>
      <c r="Q64" s="25">
        <f>'Risk Factors'!O64</f>
        <v>-1.4239999999999999E-2</v>
      </c>
      <c r="R64" s="25">
        <f>'Risk Factors'!P64</f>
        <v>-1.042E-2</v>
      </c>
      <c r="S64" s="25">
        <f>'Risk Factors'!R64</f>
        <v>-1.0869999999999999E-2</v>
      </c>
      <c r="T64" s="25">
        <f>'Risk Factors'!S64</f>
        <v>-1.1520000000000001E-2</v>
      </c>
      <c r="U64" s="25">
        <f>BMG!F64</f>
        <v>-2.2210199999999999E-2</v>
      </c>
      <c r="V64" s="25"/>
      <c r="W64" s="421">
        <v>42094</v>
      </c>
      <c r="X64" s="25">
        <f>'Risk Factors'!F64</f>
        <v>-1.18E-2</v>
      </c>
      <c r="Y64" s="25">
        <f>'Risk Factors'!G64</f>
        <v>1.4E-2</v>
      </c>
      <c r="Z64" s="25">
        <f>'Risk Factors'!H64</f>
        <v>-8.6E-3</v>
      </c>
      <c r="AA64" s="25">
        <f>'Risk Factors'!T64</f>
        <v>-1.1520000000000001E-2</v>
      </c>
      <c r="AB64" s="25">
        <f>'Risk Factors'!U64</f>
        <v>-1.32E-3</v>
      </c>
      <c r="AC64" s="25">
        <f>BMG!F64</f>
        <v>-2.2210199999999999E-2</v>
      </c>
      <c r="AE64" s="6"/>
      <c r="AG64" s="6"/>
      <c r="AI64" s="6"/>
      <c r="AK64" s="6"/>
      <c r="AM64" s="6"/>
      <c r="AO64" s="6"/>
      <c r="AQ64" s="6"/>
      <c r="AS64" s="6"/>
      <c r="AU64" s="6"/>
      <c r="AW64" s="6"/>
      <c r="AY64" s="6"/>
      <c r="BA64" s="6"/>
      <c r="BC64" s="6"/>
      <c r="BE64" s="6"/>
      <c r="BG64" s="6"/>
      <c r="BI64" s="6"/>
      <c r="BK64" s="6"/>
      <c r="BM64" s="6"/>
      <c r="BO64" s="6"/>
      <c r="BQ64" s="6"/>
      <c r="BS64" s="6"/>
      <c r="BU64" s="6"/>
      <c r="BW64" s="6"/>
      <c r="BY64" s="6"/>
      <c r="CA64" s="6"/>
      <c r="CC64" s="6"/>
      <c r="CE64" s="6"/>
      <c r="CG64" s="6"/>
      <c r="CI64" s="6"/>
      <c r="CK64" s="6"/>
      <c r="CM64" s="6"/>
      <c r="CO64" s="6"/>
      <c r="CQ64" s="6"/>
      <c r="CS64" s="6"/>
      <c r="CU64" s="6"/>
      <c r="CW64" s="6"/>
      <c r="CY64" s="6"/>
      <c r="DA64" s="6"/>
      <c r="DC64" s="6"/>
      <c r="DE64" s="6"/>
      <c r="DG64" s="6"/>
      <c r="DI64" s="6"/>
      <c r="DK64" s="6"/>
      <c r="DM64" s="6"/>
      <c r="DO64" s="6"/>
      <c r="DQ64" s="6"/>
      <c r="DS64" s="6"/>
      <c r="DU64" s="6"/>
      <c r="DW64" s="6"/>
      <c r="DY64" s="6"/>
      <c r="EA64" s="6"/>
      <c r="EC64" s="6"/>
      <c r="EE64" s="6"/>
      <c r="EG64" s="6"/>
      <c r="EI64" s="6"/>
      <c r="EK64" s="6"/>
      <c r="EM64" s="6"/>
      <c r="EO64" s="6"/>
      <c r="EQ64" s="6"/>
      <c r="ES64" s="6"/>
      <c r="EU64" s="6"/>
      <c r="EW64" s="6"/>
      <c r="EY64" s="6"/>
      <c r="FA64" s="6"/>
      <c r="FC64" s="6"/>
      <c r="FE64" s="6"/>
      <c r="FG64" s="6"/>
      <c r="FI64" s="6"/>
      <c r="FK64" s="6"/>
      <c r="FM64" s="6"/>
      <c r="FO64" s="6"/>
      <c r="FQ64" s="6"/>
      <c r="FS64" s="6"/>
      <c r="FU64" s="6"/>
      <c r="FW64" s="6"/>
      <c r="FY64" s="6"/>
      <c r="GA64" s="6"/>
      <c r="GC64" s="6"/>
      <c r="GE64" s="6"/>
    </row>
    <row r="65" spans="5:187">
      <c r="E65" s="421">
        <v>42124</v>
      </c>
      <c r="F65" s="25">
        <f>'Risk Factors'!F65</f>
        <v>2.7E-2</v>
      </c>
      <c r="G65" s="25">
        <f>'Risk Factors'!G65</f>
        <v>8.0000000000000002E-3</v>
      </c>
      <c r="H65" s="25">
        <f>'Risk Factors'!H65</f>
        <v>2.1499999999999998E-2</v>
      </c>
      <c r="I65" s="25">
        <f>'Risk Factors'!I65</f>
        <v>-3.32E-2</v>
      </c>
      <c r="J65" s="25">
        <f>BMG!F65</f>
        <v>3.66796E-2</v>
      </c>
      <c r="K65" s="25">
        <f>'Risk Factors'!J65</f>
        <v>0</v>
      </c>
      <c r="L65" s="102"/>
      <c r="M65" s="421">
        <v>42124</v>
      </c>
      <c r="N65" s="25">
        <f>'Risk Factors'!F65</f>
        <v>2.7E-2</v>
      </c>
      <c r="O65" s="25">
        <f>'Risk Factors'!M65</f>
        <v>1.6039999999999999E-2</v>
      </c>
      <c r="P65" s="25">
        <f>'Risk Factors'!N65</f>
        <v>1.4290000000000001E-2</v>
      </c>
      <c r="Q65" s="25">
        <f>'Risk Factors'!O65</f>
        <v>1.6750000000000001E-2</v>
      </c>
      <c r="R65" s="25">
        <f>'Risk Factors'!P65</f>
        <v>9.1299999999999992E-3</v>
      </c>
      <c r="S65" s="25">
        <f>'Risk Factors'!R65</f>
        <v>2.513E-2</v>
      </c>
      <c r="T65" s="25">
        <f>'Risk Factors'!S65</f>
        <v>1.281E-2</v>
      </c>
      <c r="U65" s="25">
        <f>BMG!F65</f>
        <v>3.66796E-2</v>
      </c>
      <c r="V65" s="25"/>
      <c r="W65" s="421">
        <v>42124</v>
      </c>
      <c r="X65" s="25">
        <f>'Risk Factors'!F65</f>
        <v>2.7E-2</v>
      </c>
      <c r="Y65" s="25">
        <f>'Risk Factors'!G65</f>
        <v>8.0000000000000002E-3</v>
      </c>
      <c r="Z65" s="25">
        <f>'Risk Factors'!H65</f>
        <v>2.1499999999999998E-2</v>
      </c>
      <c r="AA65" s="25">
        <f>'Risk Factors'!T65</f>
        <v>1.281E-2</v>
      </c>
      <c r="AB65" s="25">
        <f>'Risk Factors'!U65</f>
        <v>1.0839999999999999E-2</v>
      </c>
      <c r="AC65" s="25">
        <f>BMG!F65</f>
        <v>3.66796E-2</v>
      </c>
      <c r="AE65" s="6"/>
      <c r="AG65" s="6"/>
      <c r="AI65" s="6"/>
      <c r="AK65" s="6"/>
      <c r="AM65" s="6"/>
      <c r="AO65" s="6"/>
      <c r="AQ65" s="6"/>
      <c r="AS65" s="6"/>
      <c r="AU65" s="6"/>
      <c r="AW65" s="6"/>
      <c r="AY65" s="6"/>
      <c r="BA65" s="6"/>
      <c r="BC65" s="6"/>
      <c r="BE65" s="6"/>
      <c r="BG65" s="6"/>
      <c r="BI65" s="6"/>
      <c r="BK65" s="6"/>
      <c r="BM65" s="6"/>
      <c r="BO65" s="6"/>
      <c r="BQ65" s="6"/>
      <c r="BS65" s="6"/>
      <c r="BU65" s="6"/>
      <c r="BW65" s="6"/>
      <c r="BY65" s="6"/>
      <c r="CA65" s="6"/>
      <c r="CC65" s="6"/>
      <c r="CE65" s="6"/>
      <c r="CG65" s="6"/>
      <c r="CI65" s="6"/>
      <c r="CK65" s="6"/>
      <c r="CM65" s="6"/>
      <c r="CO65" s="6"/>
      <c r="CQ65" s="6"/>
      <c r="CS65" s="6"/>
      <c r="CU65" s="6"/>
      <c r="CW65" s="6"/>
      <c r="CY65" s="6"/>
      <c r="DA65" s="6"/>
      <c r="DC65" s="6"/>
      <c r="DE65" s="6"/>
      <c r="DG65" s="6"/>
      <c r="DI65" s="6"/>
      <c r="DK65" s="6"/>
      <c r="DM65" s="6"/>
      <c r="DO65" s="6"/>
      <c r="DQ65" s="6"/>
      <c r="DS65" s="6"/>
      <c r="DU65" s="6"/>
      <c r="DW65" s="6"/>
      <c r="DY65" s="6"/>
      <c r="EA65" s="6"/>
      <c r="EC65" s="6"/>
      <c r="EE65" s="6"/>
      <c r="EG65" s="6"/>
      <c r="EI65" s="6"/>
      <c r="EK65" s="6"/>
      <c r="EM65" s="6"/>
      <c r="EO65" s="6"/>
      <c r="EQ65" s="6"/>
      <c r="ES65" s="6"/>
      <c r="EU65" s="6"/>
      <c r="EW65" s="6"/>
      <c r="EY65" s="6"/>
      <c r="FA65" s="6"/>
      <c r="FC65" s="6"/>
      <c r="FE65" s="6"/>
      <c r="FG65" s="6"/>
      <c r="FI65" s="6"/>
      <c r="FK65" s="6"/>
      <c r="FM65" s="6"/>
      <c r="FO65" s="6"/>
      <c r="FQ65" s="6"/>
      <c r="FS65" s="6"/>
      <c r="FU65" s="6"/>
      <c r="FW65" s="6"/>
      <c r="FY65" s="6"/>
      <c r="GA65" s="6"/>
      <c r="GC65" s="6"/>
      <c r="GE65" s="6"/>
    </row>
    <row r="66" spans="5:187">
      <c r="E66" s="421">
        <v>42155</v>
      </c>
      <c r="F66" s="25">
        <f>'Risk Factors'!F66</f>
        <v>5.0000000000000001E-3</v>
      </c>
      <c r="G66" s="25">
        <f>'Risk Factors'!G66</f>
        <v>1.26E-2</v>
      </c>
      <c r="H66" s="25">
        <f>'Risk Factors'!H66</f>
        <v>-1.2500000000000001E-2</v>
      </c>
      <c r="I66" s="25">
        <f>'Risk Factors'!I66</f>
        <v>4.1799999999999997E-2</v>
      </c>
      <c r="J66" s="25">
        <f>BMG!F66</f>
        <v>-2.8623200000000001E-2</v>
      </c>
      <c r="K66" s="25">
        <f>'Risk Factors'!J66</f>
        <v>0</v>
      </c>
      <c r="L66" s="102"/>
      <c r="M66" s="421">
        <v>42155</v>
      </c>
      <c r="N66" s="25">
        <f>'Risk Factors'!F66</f>
        <v>5.0000000000000001E-3</v>
      </c>
      <c r="O66" s="25">
        <f>'Risk Factors'!M66</f>
        <v>-8.2000000000000007E-3</v>
      </c>
      <c r="P66" s="25">
        <f>'Risk Factors'!N66</f>
        <v>-7.1700000000000002E-3</v>
      </c>
      <c r="Q66" s="25">
        <f>'Risk Factors'!O66</f>
        <v>-9.9399999999999992E-3</v>
      </c>
      <c r="R66" s="25">
        <f>'Risk Factors'!P66</f>
        <v>-1.107E-2</v>
      </c>
      <c r="S66" s="25">
        <f>'Risk Factors'!R66</f>
        <v>3.8000000000000002E-4</v>
      </c>
      <c r="T66" s="25">
        <f>'Risk Factors'!S66</f>
        <v>-1.617E-2</v>
      </c>
      <c r="U66" s="25">
        <f>BMG!F66</f>
        <v>-2.8623200000000001E-2</v>
      </c>
      <c r="V66" s="25"/>
      <c r="W66" s="421">
        <v>42155</v>
      </c>
      <c r="X66" s="25">
        <f>'Risk Factors'!F66</f>
        <v>5.0000000000000001E-3</v>
      </c>
      <c r="Y66" s="25">
        <f>'Risk Factors'!G66</f>
        <v>1.26E-2</v>
      </c>
      <c r="Z66" s="25">
        <f>'Risk Factors'!H66</f>
        <v>-1.2500000000000001E-2</v>
      </c>
      <c r="AA66" s="25">
        <f>'Risk Factors'!T66</f>
        <v>-1.617E-2</v>
      </c>
      <c r="AB66" s="25">
        <f>'Risk Factors'!U66</f>
        <v>7.5500000000000003E-3</v>
      </c>
      <c r="AC66" s="25">
        <f>BMG!F66</f>
        <v>-2.8623200000000001E-2</v>
      </c>
      <c r="AE66" s="6"/>
      <c r="AG66" s="6"/>
      <c r="AI66" s="6"/>
      <c r="AK66" s="6"/>
      <c r="AM66" s="6"/>
      <c r="AO66" s="6"/>
      <c r="AQ66" s="6"/>
      <c r="AS66" s="6"/>
      <c r="AU66" s="6"/>
      <c r="AW66" s="6"/>
      <c r="AY66" s="6"/>
      <c r="BA66" s="6"/>
      <c r="BC66" s="6"/>
      <c r="BE66" s="6"/>
      <c r="BG66" s="6"/>
      <c r="BI66" s="6"/>
      <c r="BK66" s="6"/>
      <c r="BM66" s="6"/>
      <c r="BO66" s="6"/>
      <c r="BQ66" s="6"/>
      <c r="BS66" s="6"/>
      <c r="BU66" s="6"/>
      <c r="BW66" s="6"/>
      <c r="BY66" s="6"/>
      <c r="CA66" s="6"/>
      <c r="CC66" s="6"/>
      <c r="CE66" s="6"/>
      <c r="CG66" s="6"/>
      <c r="CI66" s="6"/>
      <c r="CK66" s="6"/>
      <c r="CM66" s="6"/>
      <c r="CO66" s="6"/>
      <c r="CQ66" s="6"/>
      <c r="CS66" s="6"/>
      <c r="CU66" s="6"/>
      <c r="CW66" s="6"/>
      <c r="CY66" s="6"/>
      <c r="DA66" s="6"/>
      <c r="DC66" s="6"/>
      <c r="DE66" s="6"/>
      <c r="DG66" s="6"/>
      <c r="DI66" s="6"/>
      <c r="DK66" s="6"/>
      <c r="DM66" s="6"/>
      <c r="DO66" s="6"/>
      <c r="DQ66" s="6"/>
      <c r="DS66" s="6"/>
      <c r="DU66" s="6"/>
      <c r="DW66" s="6"/>
      <c r="DY66" s="6"/>
      <c r="EA66" s="6"/>
      <c r="EC66" s="6"/>
      <c r="EE66" s="6"/>
      <c r="EG66" s="6"/>
      <c r="EI66" s="6"/>
      <c r="EK66" s="6"/>
      <c r="EM66" s="6"/>
      <c r="EO66" s="6"/>
      <c r="EQ66" s="6"/>
      <c r="ES66" s="6"/>
      <c r="EU66" s="6"/>
      <c r="EW66" s="6"/>
      <c r="EY66" s="6"/>
      <c r="FA66" s="6"/>
      <c r="FC66" s="6"/>
      <c r="FE66" s="6"/>
      <c r="FG66" s="6"/>
      <c r="FI66" s="6"/>
      <c r="FK66" s="6"/>
      <c r="FM66" s="6"/>
      <c r="FO66" s="6"/>
      <c r="FQ66" s="6"/>
      <c r="FS66" s="6"/>
      <c r="FU66" s="6"/>
      <c r="FW66" s="6"/>
      <c r="FY66" s="6"/>
      <c r="GA66" s="6"/>
      <c r="GC66" s="6"/>
      <c r="GE66" s="6"/>
    </row>
    <row r="67" spans="5:187">
      <c r="E67" s="421">
        <v>42185</v>
      </c>
      <c r="F67" s="25">
        <f>'Risk Factors'!F67</f>
        <v>-2.1000000000000001E-2</v>
      </c>
      <c r="G67" s="25">
        <f>'Risk Factors'!G67</f>
        <v>2.0899999999999998E-2</v>
      </c>
      <c r="H67" s="25">
        <f>'Risk Factors'!H67</f>
        <v>-6.7999999999999996E-3</v>
      </c>
      <c r="I67" s="25">
        <f>'Risk Factors'!I67</f>
        <v>1.9599999999999999E-2</v>
      </c>
      <c r="J67" s="25">
        <f>BMG!F67</f>
        <v>-1.65697E-2</v>
      </c>
      <c r="K67" s="25">
        <f>'Risk Factors'!J67</f>
        <v>0</v>
      </c>
      <c r="L67" s="102"/>
      <c r="M67" s="421">
        <v>42185</v>
      </c>
      <c r="N67" s="25">
        <f>'Risk Factors'!F67</f>
        <v>-2.1000000000000001E-2</v>
      </c>
      <c r="O67" s="25">
        <f>'Risk Factors'!M67</f>
        <v>4.2199999999999998E-3</v>
      </c>
      <c r="P67" s="25">
        <f>'Risk Factors'!N67</f>
        <v>-2.0000000000000001E-4</v>
      </c>
      <c r="Q67" s="25">
        <f>'Risk Factors'!O67</f>
        <v>-6.4400000000000004E-3</v>
      </c>
      <c r="R67" s="25">
        <f>'Risk Factors'!P67</f>
        <v>-1.753E-2</v>
      </c>
      <c r="S67" s="25">
        <f>'Risk Factors'!R67</f>
        <v>-1.1039999999999999E-2</v>
      </c>
      <c r="T67" s="25">
        <f>'Risk Factors'!S67</f>
        <v>3.8800000000000002E-3</v>
      </c>
      <c r="U67" s="25">
        <f>BMG!F67</f>
        <v>-1.65697E-2</v>
      </c>
      <c r="V67" s="25"/>
      <c r="W67" s="421">
        <v>42185</v>
      </c>
      <c r="X67" s="25">
        <f>'Risk Factors'!F67</f>
        <v>-2.1000000000000001E-2</v>
      </c>
      <c r="Y67" s="25">
        <f>'Risk Factors'!G67</f>
        <v>2.0899999999999998E-2</v>
      </c>
      <c r="Z67" s="25">
        <f>'Risk Factors'!H67</f>
        <v>-6.7999999999999996E-3</v>
      </c>
      <c r="AA67" s="25">
        <f>'Risk Factors'!T67</f>
        <v>3.8800000000000002E-3</v>
      </c>
      <c r="AB67" s="25">
        <f>'Risk Factors'!U67</f>
        <v>-1.0839999999999999E-2</v>
      </c>
      <c r="AC67" s="25">
        <f>BMG!F67</f>
        <v>-1.65697E-2</v>
      </c>
      <c r="AE67" s="6"/>
      <c r="AG67" s="6"/>
      <c r="AI67" s="6"/>
      <c r="AK67" s="6"/>
      <c r="AM67" s="6"/>
      <c r="AO67" s="6"/>
      <c r="AQ67" s="6"/>
      <c r="AS67" s="6"/>
      <c r="AU67" s="6"/>
      <c r="AW67" s="6"/>
      <c r="AY67" s="6"/>
      <c r="BA67" s="6"/>
      <c r="BC67" s="6"/>
      <c r="BE67" s="6"/>
      <c r="BG67" s="6"/>
      <c r="BI67" s="6"/>
      <c r="BK67" s="6"/>
      <c r="BM67" s="6"/>
      <c r="BO67" s="6"/>
      <c r="BQ67" s="6"/>
      <c r="BS67" s="6"/>
      <c r="BU67" s="6"/>
      <c r="BW67" s="6"/>
      <c r="BY67" s="6"/>
      <c r="CA67" s="6"/>
      <c r="CC67" s="6"/>
      <c r="CE67" s="6"/>
      <c r="CG67" s="6"/>
      <c r="CI67" s="6"/>
      <c r="CK67" s="6"/>
      <c r="CM67" s="6"/>
      <c r="CO67" s="6"/>
      <c r="CQ67" s="6"/>
      <c r="CS67" s="6"/>
      <c r="CU67" s="6"/>
      <c r="CW67" s="6"/>
      <c r="CY67" s="6"/>
      <c r="DA67" s="6"/>
      <c r="DC67" s="6"/>
      <c r="DE67" s="6"/>
      <c r="DG67" s="6"/>
      <c r="DI67" s="6"/>
      <c r="DK67" s="6"/>
      <c r="DM67" s="6"/>
      <c r="DO67" s="6"/>
      <c r="DQ67" s="6"/>
      <c r="DS67" s="6"/>
      <c r="DU67" s="6"/>
      <c r="DW67" s="6"/>
      <c r="DY67" s="6"/>
      <c r="EA67" s="6"/>
      <c r="EC67" s="6"/>
      <c r="EE67" s="6"/>
      <c r="EG67" s="6"/>
      <c r="EI67" s="6"/>
      <c r="EK67" s="6"/>
      <c r="EM67" s="6"/>
      <c r="EO67" s="6"/>
      <c r="EQ67" s="6"/>
      <c r="ES67" s="6"/>
      <c r="EU67" s="6"/>
      <c r="EW67" s="6"/>
      <c r="EY67" s="6"/>
      <c r="FA67" s="6"/>
      <c r="FC67" s="6"/>
      <c r="FE67" s="6"/>
      <c r="FG67" s="6"/>
      <c r="FI67" s="6"/>
      <c r="FK67" s="6"/>
      <c r="FM67" s="6"/>
      <c r="FO67" s="6"/>
      <c r="FQ67" s="6"/>
      <c r="FS67" s="6"/>
      <c r="FU67" s="6"/>
      <c r="FW67" s="6"/>
      <c r="FY67" s="6"/>
      <c r="GA67" s="6"/>
      <c r="GC67" s="6"/>
      <c r="GE67" s="6"/>
    </row>
    <row r="68" spans="5:187">
      <c r="E68" s="421">
        <v>42216</v>
      </c>
      <c r="F68" s="25">
        <f>'Risk Factors'!F68</f>
        <v>1.15E-2</v>
      </c>
      <c r="G68" s="25">
        <f>'Risk Factors'!G68</f>
        <v>-3.0700000000000002E-2</v>
      </c>
      <c r="H68" s="25">
        <f>'Risk Factors'!H68</f>
        <v>-3.2099999999999997E-2</v>
      </c>
      <c r="I68" s="25">
        <f>'Risk Factors'!I68</f>
        <v>3.4700000000000002E-2</v>
      </c>
      <c r="J68" s="25">
        <f>BMG!F68</f>
        <v>-4.3803500000000002E-2</v>
      </c>
      <c r="K68" s="25">
        <f>'Risk Factors'!J68</f>
        <v>0</v>
      </c>
      <c r="L68" s="102"/>
      <c r="M68" s="421">
        <v>42216</v>
      </c>
      <c r="N68" s="25">
        <f>'Risk Factors'!F68</f>
        <v>1.15E-2</v>
      </c>
      <c r="O68" s="25">
        <f>'Risk Factors'!M68</f>
        <v>-4.2500000000000003E-3</v>
      </c>
      <c r="P68" s="25">
        <f>'Risk Factors'!N68</f>
        <v>-1.2700000000000001E-3</v>
      </c>
      <c r="Q68" s="25">
        <f>'Risk Factors'!O68</f>
        <v>7.6000000000000004E-4</v>
      </c>
      <c r="R68" s="25">
        <f>'Risk Factors'!P68</f>
        <v>6.1799999999999997E-3</v>
      </c>
      <c r="S68" s="25">
        <f>'Risk Factors'!R68</f>
        <v>-4.4099999999999999E-3</v>
      </c>
      <c r="T68" s="25">
        <f>'Risk Factors'!S68</f>
        <v>-8.9999999999999998E-4</v>
      </c>
      <c r="U68" s="25">
        <f>BMG!F68</f>
        <v>-4.3803500000000002E-2</v>
      </c>
      <c r="V68" s="25"/>
      <c r="W68" s="421">
        <v>42216</v>
      </c>
      <c r="X68" s="25">
        <f>'Risk Factors'!F68</f>
        <v>1.15E-2</v>
      </c>
      <c r="Y68" s="25">
        <f>'Risk Factors'!G68</f>
        <v>-3.0700000000000002E-2</v>
      </c>
      <c r="Z68" s="25">
        <f>'Risk Factors'!H68</f>
        <v>-3.2099999999999997E-2</v>
      </c>
      <c r="AA68" s="25">
        <f>'Risk Factors'!T68</f>
        <v>-8.9999999999999998E-4</v>
      </c>
      <c r="AB68" s="25">
        <f>'Risk Factors'!U68</f>
        <v>-3.1399999999999996E-3</v>
      </c>
      <c r="AC68" s="25">
        <f>BMG!F68</f>
        <v>-4.3803500000000002E-2</v>
      </c>
      <c r="AE68" s="6"/>
      <c r="AG68" s="6"/>
      <c r="AI68" s="6"/>
      <c r="AK68" s="6"/>
      <c r="AM68" s="6"/>
      <c r="AO68" s="6"/>
      <c r="AQ68" s="6"/>
      <c r="AS68" s="6"/>
      <c r="AU68" s="6"/>
      <c r="AW68" s="6"/>
      <c r="AY68" s="6"/>
      <c r="BA68" s="6"/>
      <c r="BC68" s="6"/>
      <c r="BE68" s="6"/>
      <c r="BG68" s="6"/>
      <c r="BI68" s="6"/>
      <c r="BK68" s="6"/>
      <c r="BM68" s="6"/>
      <c r="BO68" s="6"/>
      <c r="BQ68" s="6"/>
      <c r="BS68" s="6"/>
      <c r="BU68" s="6"/>
      <c r="BW68" s="6"/>
      <c r="BY68" s="6"/>
      <c r="CA68" s="6"/>
      <c r="CC68" s="6"/>
      <c r="CE68" s="6"/>
      <c r="CG68" s="6"/>
      <c r="CI68" s="6"/>
      <c r="CK68" s="6"/>
      <c r="CM68" s="6"/>
      <c r="CO68" s="6"/>
      <c r="CQ68" s="6"/>
      <c r="CS68" s="6"/>
      <c r="CU68" s="6"/>
      <c r="CW68" s="6"/>
      <c r="CY68" s="6"/>
      <c r="DA68" s="6"/>
      <c r="DC68" s="6"/>
      <c r="DE68" s="6"/>
      <c r="DG68" s="6"/>
      <c r="DI68" s="6"/>
      <c r="DK68" s="6"/>
      <c r="DM68" s="6"/>
      <c r="DO68" s="6"/>
      <c r="DQ68" s="6"/>
      <c r="DS68" s="6"/>
      <c r="DU68" s="6"/>
      <c r="DW68" s="6"/>
      <c r="DY68" s="6"/>
      <c r="EA68" s="6"/>
      <c r="EC68" s="6"/>
      <c r="EE68" s="6"/>
      <c r="EG68" s="6"/>
      <c r="EI68" s="6"/>
      <c r="EK68" s="6"/>
      <c r="EM68" s="6"/>
      <c r="EO68" s="6"/>
      <c r="EQ68" s="6"/>
      <c r="ES68" s="6"/>
      <c r="EU68" s="6"/>
      <c r="EW68" s="6"/>
      <c r="EY68" s="6"/>
      <c r="FA68" s="6"/>
      <c r="FC68" s="6"/>
      <c r="FE68" s="6"/>
      <c r="FG68" s="6"/>
      <c r="FI68" s="6"/>
      <c r="FK68" s="6"/>
      <c r="FM68" s="6"/>
      <c r="FO68" s="6"/>
      <c r="FQ68" s="6"/>
      <c r="FS68" s="6"/>
      <c r="FU68" s="6"/>
      <c r="FW68" s="6"/>
      <c r="FY68" s="6"/>
      <c r="GA68" s="6"/>
      <c r="GC68" s="6"/>
      <c r="GE68" s="6"/>
    </row>
    <row r="69" spans="5:187">
      <c r="E69" s="421">
        <v>42247</v>
      </c>
      <c r="F69" s="25">
        <f>'Risk Factors'!F69</f>
        <v>-6.1699999999999998E-2</v>
      </c>
      <c r="G69" s="25">
        <f>'Risk Factors'!G69</f>
        <v>1.38E-2</v>
      </c>
      <c r="H69" s="25">
        <f>'Risk Factors'!H69</f>
        <v>9.7999999999999997E-3</v>
      </c>
      <c r="I69" s="25">
        <f>'Risk Factors'!I69</f>
        <v>-6.1000000000000004E-3</v>
      </c>
      <c r="J69" s="25">
        <f>BMG!F69</f>
        <v>-2.2263000000000001E-3</v>
      </c>
      <c r="K69" s="25">
        <f>'Risk Factors'!J69</f>
        <v>0</v>
      </c>
      <c r="L69" s="102"/>
      <c r="M69" s="421">
        <v>42247</v>
      </c>
      <c r="N69" s="25">
        <f>'Risk Factors'!F69</f>
        <v>-6.1699999999999998E-2</v>
      </c>
      <c r="O69" s="25">
        <f>'Risk Factors'!M69</f>
        <v>1.1900000000000001E-3</v>
      </c>
      <c r="P69" s="25">
        <f>'Risk Factors'!N69</f>
        <v>-6.8000000000000005E-4</v>
      </c>
      <c r="Q69" s="25">
        <f>'Risk Factors'!O69</f>
        <v>-3.1700000000000001E-3</v>
      </c>
      <c r="R69" s="25">
        <f>'Risk Factors'!P69</f>
        <v>-5.94E-3</v>
      </c>
      <c r="S69" s="25">
        <f>'Risk Factors'!R69</f>
        <v>-1.537E-2</v>
      </c>
      <c r="T69" s="25">
        <f>'Risk Factors'!S69</f>
        <v>6.7499999999999999E-3</v>
      </c>
      <c r="U69" s="25">
        <f>BMG!F69</f>
        <v>-2.2263000000000001E-3</v>
      </c>
      <c r="V69" s="25"/>
      <c r="W69" s="421">
        <v>42247</v>
      </c>
      <c r="X69" s="25">
        <f>'Risk Factors'!F69</f>
        <v>-6.1699999999999998E-2</v>
      </c>
      <c r="Y69" s="25">
        <f>'Risk Factors'!G69</f>
        <v>1.38E-2</v>
      </c>
      <c r="Z69" s="25">
        <f>'Risk Factors'!H69</f>
        <v>9.7999999999999997E-3</v>
      </c>
      <c r="AA69" s="25">
        <f>'Risk Factors'!T69</f>
        <v>6.7499999999999999E-3</v>
      </c>
      <c r="AB69" s="25">
        <f>'Risk Factors'!U69</f>
        <v>-1.469E-2</v>
      </c>
      <c r="AC69" s="25">
        <f>BMG!F69</f>
        <v>-2.2263000000000001E-3</v>
      </c>
      <c r="AE69" s="6"/>
      <c r="AG69" s="6"/>
      <c r="AI69" s="6"/>
      <c r="AK69" s="6"/>
      <c r="AM69" s="6"/>
      <c r="AO69" s="6"/>
      <c r="AQ69" s="6"/>
      <c r="AS69" s="6"/>
      <c r="AU69" s="6"/>
      <c r="AW69" s="6"/>
      <c r="AY69" s="6"/>
      <c r="BA69" s="6"/>
      <c r="BC69" s="6"/>
      <c r="BE69" s="6"/>
      <c r="BG69" s="6"/>
      <c r="BI69" s="6"/>
      <c r="BK69" s="6"/>
      <c r="BM69" s="6"/>
      <c r="BO69" s="6"/>
      <c r="BQ69" s="6"/>
      <c r="BS69" s="6"/>
      <c r="BU69" s="6"/>
      <c r="BW69" s="6"/>
      <c r="BY69" s="6"/>
      <c r="CA69" s="6"/>
      <c r="CC69" s="6"/>
      <c r="CE69" s="6"/>
      <c r="CG69" s="6"/>
      <c r="CI69" s="6"/>
      <c r="CK69" s="6"/>
      <c r="CM69" s="6"/>
      <c r="CO69" s="6"/>
      <c r="CQ69" s="6"/>
      <c r="CS69" s="6"/>
      <c r="CU69" s="6"/>
      <c r="CW69" s="6"/>
      <c r="CY69" s="6"/>
      <c r="DA69" s="6"/>
      <c r="DC69" s="6"/>
      <c r="DE69" s="6"/>
      <c r="DG69" s="6"/>
      <c r="DI69" s="6"/>
      <c r="DK69" s="6"/>
      <c r="DM69" s="6"/>
      <c r="DO69" s="6"/>
      <c r="DQ69" s="6"/>
      <c r="DS69" s="6"/>
      <c r="DU69" s="6"/>
      <c r="DW69" s="6"/>
      <c r="DY69" s="6"/>
      <c r="EA69" s="6"/>
      <c r="EC69" s="6"/>
      <c r="EE69" s="6"/>
      <c r="EG69" s="6"/>
      <c r="EI69" s="6"/>
      <c r="EK69" s="6"/>
      <c r="EM69" s="6"/>
      <c r="EO69" s="6"/>
      <c r="EQ69" s="6"/>
      <c r="ES69" s="6"/>
      <c r="EU69" s="6"/>
      <c r="EW69" s="6"/>
      <c r="EY69" s="6"/>
      <c r="FA69" s="6"/>
      <c r="FC69" s="6"/>
      <c r="FE69" s="6"/>
      <c r="FG69" s="6"/>
      <c r="FI69" s="6"/>
      <c r="FK69" s="6"/>
      <c r="FM69" s="6"/>
      <c r="FO69" s="6"/>
      <c r="FQ69" s="6"/>
      <c r="FS69" s="6"/>
      <c r="FU69" s="6"/>
      <c r="FW69" s="6"/>
      <c r="FY69" s="6"/>
      <c r="GA69" s="6"/>
      <c r="GC69" s="6"/>
      <c r="GE69" s="6"/>
    </row>
    <row r="70" spans="5:187">
      <c r="E70" s="421">
        <v>42277</v>
      </c>
      <c r="F70" s="25">
        <f>'Risk Factors'!F70</f>
        <v>-3.9199999999999999E-2</v>
      </c>
      <c r="G70" s="25">
        <f>'Risk Factors'!G70</f>
        <v>-2.5999999999999999E-3</v>
      </c>
      <c r="H70" s="25">
        <f>'Risk Factors'!H70</f>
        <v>-9.2999999999999992E-3</v>
      </c>
      <c r="I70" s="25">
        <f>'Risk Factors'!I70</f>
        <v>3.5700000000000003E-2</v>
      </c>
      <c r="J70" s="25">
        <f>BMG!F70</f>
        <v>-1.18756E-2</v>
      </c>
      <c r="K70" s="25">
        <f>'Risk Factors'!J70</f>
        <v>0</v>
      </c>
      <c r="L70" s="102"/>
      <c r="M70" s="421">
        <v>42277</v>
      </c>
      <c r="N70" s="25">
        <f>'Risk Factors'!F70</f>
        <v>-3.9199999999999999E-2</v>
      </c>
      <c r="O70" s="25">
        <f>'Risk Factors'!M70</f>
        <v>-4.6999999999999999E-4</v>
      </c>
      <c r="P70" s="25">
        <f>'Risk Factors'!N70</f>
        <v>-4.0000000000000003E-5</v>
      </c>
      <c r="Q70" s="25">
        <f>'Risk Factors'!O70</f>
        <v>-1.2600000000000001E-3</v>
      </c>
      <c r="R70" s="25">
        <f>'Risk Factors'!P70</f>
        <v>9.1E-4</v>
      </c>
      <c r="S70" s="25">
        <f>'Risk Factors'!R70</f>
        <v>-2.7279999999999999E-2</v>
      </c>
      <c r="T70" s="25">
        <f>'Risk Factors'!S70</f>
        <v>6.7200000000000003E-3</v>
      </c>
      <c r="U70" s="25">
        <f>BMG!F70</f>
        <v>-1.18756E-2</v>
      </c>
      <c r="V70" s="25"/>
      <c r="W70" s="421">
        <v>42277</v>
      </c>
      <c r="X70" s="25">
        <f>'Risk Factors'!F70</f>
        <v>-3.9199999999999999E-2</v>
      </c>
      <c r="Y70" s="25">
        <f>'Risk Factors'!G70</f>
        <v>-2.5999999999999999E-3</v>
      </c>
      <c r="Z70" s="25">
        <f>'Risk Factors'!H70</f>
        <v>-9.2999999999999992E-3</v>
      </c>
      <c r="AA70" s="25">
        <f>'Risk Factors'!T70</f>
        <v>6.7200000000000003E-3</v>
      </c>
      <c r="AB70" s="25">
        <f>'Risk Factors'!U70</f>
        <v>-2.724E-2</v>
      </c>
      <c r="AC70" s="25">
        <f>BMG!F70</f>
        <v>-1.18756E-2</v>
      </c>
      <c r="AE70" s="6"/>
      <c r="AG70" s="6"/>
      <c r="AI70" s="6"/>
      <c r="AK70" s="6"/>
      <c r="AM70" s="6"/>
      <c r="AO70" s="6"/>
      <c r="AQ70" s="6"/>
      <c r="AS70" s="6"/>
      <c r="AU70" s="6"/>
      <c r="AW70" s="6"/>
      <c r="AY70" s="6"/>
      <c r="BA70" s="6"/>
      <c r="BC70" s="6"/>
      <c r="BE70" s="6"/>
      <c r="BG70" s="6"/>
      <c r="BI70" s="6"/>
      <c r="BK70" s="6"/>
      <c r="BM70" s="6"/>
      <c r="BO70" s="6"/>
      <c r="BQ70" s="6"/>
      <c r="BS70" s="6"/>
      <c r="BU70" s="6"/>
      <c r="BW70" s="6"/>
      <c r="BY70" s="6"/>
      <c r="CA70" s="6"/>
      <c r="CC70" s="6"/>
      <c r="CE70" s="6"/>
      <c r="CG70" s="6"/>
      <c r="CI70" s="6"/>
      <c r="CK70" s="6"/>
      <c r="CM70" s="6"/>
      <c r="CO70" s="6"/>
      <c r="CQ70" s="6"/>
      <c r="CS70" s="6"/>
      <c r="CU70" s="6"/>
      <c r="CW70" s="6"/>
      <c r="CY70" s="6"/>
      <c r="DA70" s="6"/>
      <c r="DC70" s="6"/>
      <c r="DE70" s="6"/>
      <c r="DG70" s="6"/>
      <c r="DI70" s="6"/>
      <c r="DK70" s="6"/>
      <c r="DM70" s="6"/>
      <c r="DO70" s="6"/>
      <c r="DQ70" s="6"/>
      <c r="DS70" s="6"/>
      <c r="DU70" s="6"/>
      <c r="DW70" s="6"/>
      <c r="DY70" s="6"/>
      <c r="EA70" s="6"/>
      <c r="EC70" s="6"/>
      <c r="EE70" s="6"/>
      <c r="EG70" s="6"/>
      <c r="EI70" s="6"/>
      <c r="EK70" s="6"/>
      <c r="EM70" s="6"/>
      <c r="EO70" s="6"/>
      <c r="EQ70" s="6"/>
      <c r="ES70" s="6"/>
      <c r="EU70" s="6"/>
      <c r="EW70" s="6"/>
      <c r="EY70" s="6"/>
      <c r="FA70" s="6"/>
      <c r="FC70" s="6"/>
      <c r="FE70" s="6"/>
      <c r="FG70" s="6"/>
      <c r="FI70" s="6"/>
      <c r="FK70" s="6"/>
      <c r="FM70" s="6"/>
      <c r="FO70" s="6"/>
      <c r="FQ70" s="6"/>
      <c r="FS70" s="6"/>
      <c r="FU70" s="6"/>
      <c r="FW70" s="6"/>
      <c r="FY70" s="6"/>
      <c r="GA70" s="6"/>
      <c r="GC70" s="6"/>
      <c r="GE70" s="6"/>
    </row>
    <row r="71" spans="5:187">
      <c r="E71" s="421">
        <v>42308</v>
      </c>
      <c r="F71" s="25">
        <f>'Risk Factors'!F71</f>
        <v>7.3300000000000004E-2</v>
      </c>
      <c r="G71" s="25">
        <f>'Risk Factors'!G71</f>
        <v>-2.3199999999999998E-2</v>
      </c>
      <c r="H71" s="25">
        <f>'Risk Factors'!H71</f>
        <v>2.7000000000000001E-3</v>
      </c>
      <c r="I71" s="25">
        <f>'Risk Factors'!I71</f>
        <v>-2.63E-2</v>
      </c>
      <c r="J71" s="25">
        <f>BMG!F71</f>
        <v>-1.9300000000000002E-5</v>
      </c>
      <c r="K71" s="25">
        <f>'Risk Factors'!J71</f>
        <v>0</v>
      </c>
      <c r="L71" s="102"/>
      <c r="M71" s="421">
        <v>42308</v>
      </c>
      <c r="N71" s="25">
        <f>'Risk Factors'!F71</f>
        <v>7.3300000000000004E-2</v>
      </c>
      <c r="O71" s="25">
        <f>'Risk Factors'!M71</f>
        <v>1.72E-3</v>
      </c>
      <c r="P71" s="25">
        <f>'Risk Factors'!N71</f>
        <v>2.99E-3</v>
      </c>
      <c r="Q71" s="25">
        <f>'Risk Factors'!O71</f>
        <v>6.2300000000000003E-3</v>
      </c>
      <c r="R71" s="25">
        <f>'Risk Factors'!P71</f>
        <v>9.7800000000000005E-3</v>
      </c>
      <c r="S71" s="25">
        <f>'Risk Factors'!R71</f>
        <v>2.9929999999999998E-2</v>
      </c>
      <c r="T71" s="25">
        <f>'Risk Factors'!S71</f>
        <v>-2.63E-3</v>
      </c>
      <c r="U71" s="25">
        <f>BMG!F71</f>
        <v>-1.9300000000000002E-5</v>
      </c>
      <c r="V71" s="25"/>
      <c r="W71" s="421">
        <v>42308</v>
      </c>
      <c r="X71" s="25">
        <f>'Risk Factors'!F71</f>
        <v>7.3300000000000004E-2</v>
      </c>
      <c r="Y71" s="25">
        <f>'Risk Factors'!G71</f>
        <v>-2.3199999999999998E-2</v>
      </c>
      <c r="Z71" s="25">
        <f>'Risk Factors'!H71</f>
        <v>2.7000000000000001E-3</v>
      </c>
      <c r="AA71" s="25">
        <f>'Risk Factors'!T71</f>
        <v>-2.63E-3</v>
      </c>
      <c r="AB71" s="25">
        <f>'Risk Factors'!U71</f>
        <v>2.6939999999999999E-2</v>
      </c>
      <c r="AC71" s="25">
        <f>BMG!F71</f>
        <v>-1.9300000000000002E-5</v>
      </c>
      <c r="AE71" s="6"/>
      <c r="AG71" s="6"/>
      <c r="AI71" s="6"/>
      <c r="AK71" s="6"/>
      <c r="AM71" s="6"/>
      <c r="AO71" s="6"/>
      <c r="AQ71" s="6"/>
      <c r="AS71" s="6"/>
      <c r="AU71" s="6"/>
      <c r="AW71" s="6"/>
      <c r="AY71" s="6"/>
      <c r="BA71" s="6"/>
      <c r="BC71" s="6"/>
      <c r="BE71" s="6"/>
      <c r="BG71" s="6"/>
      <c r="BI71" s="6"/>
      <c r="BK71" s="6"/>
      <c r="BM71" s="6"/>
      <c r="BO71" s="6"/>
      <c r="BQ71" s="6"/>
      <c r="BS71" s="6"/>
      <c r="BU71" s="6"/>
      <c r="BW71" s="6"/>
      <c r="BY71" s="6"/>
      <c r="CA71" s="6"/>
      <c r="CC71" s="6"/>
      <c r="CE71" s="6"/>
      <c r="CG71" s="6"/>
      <c r="CI71" s="6"/>
      <c r="CK71" s="6"/>
      <c r="CM71" s="6"/>
      <c r="CO71" s="6"/>
      <c r="CQ71" s="6"/>
      <c r="CS71" s="6"/>
      <c r="CU71" s="6"/>
      <c r="CW71" s="6"/>
      <c r="CY71" s="6"/>
      <c r="DA71" s="6"/>
      <c r="DC71" s="6"/>
      <c r="DE71" s="6"/>
      <c r="DG71" s="6"/>
      <c r="DI71" s="6"/>
      <c r="DK71" s="6"/>
      <c r="DM71" s="6"/>
      <c r="DO71" s="6"/>
      <c r="DQ71" s="6"/>
      <c r="DS71" s="6"/>
      <c r="DU71" s="6"/>
      <c r="DW71" s="6"/>
      <c r="DY71" s="6"/>
      <c r="EA71" s="6"/>
      <c r="EC71" s="6"/>
      <c r="EE71" s="6"/>
      <c r="EG71" s="6"/>
      <c r="EI71" s="6"/>
      <c r="EK71" s="6"/>
      <c r="EM71" s="6"/>
      <c r="EO71" s="6"/>
      <c r="EQ71" s="6"/>
      <c r="ES71" s="6"/>
      <c r="EU71" s="6"/>
      <c r="EW71" s="6"/>
      <c r="EY71" s="6"/>
      <c r="FA71" s="6"/>
      <c r="FC71" s="6"/>
      <c r="FE71" s="6"/>
      <c r="FG71" s="6"/>
      <c r="FI71" s="6"/>
      <c r="FK71" s="6"/>
      <c r="FM71" s="6"/>
      <c r="FO71" s="6"/>
      <c r="FQ71" s="6"/>
      <c r="FS71" s="6"/>
      <c r="FU71" s="6"/>
      <c r="FW71" s="6"/>
      <c r="FY71" s="6"/>
      <c r="GA71" s="6"/>
      <c r="GC71" s="6"/>
      <c r="GE71" s="6"/>
    </row>
    <row r="72" spans="5:187">
      <c r="E72" s="421">
        <v>42338</v>
      </c>
      <c r="F72" s="25">
        <f>'Risk Factors'!F72</f>
        <v>-3.0999999999999999E-3</v>
      </c>
      <c r="G72" s="25">
        <f>'Risk Factors'!G72</f>
        <v>1.77E-2</v>
      </c>
      <c r="H72" s="25">
        <f>'Risk Factors'!H72</f>
        <v>-1.9199999999999998E-2</v>
      </c>
      <c r="I72" s="25">
        <f>'Risk Factors'!I72</f>
        <v>2.01E-2</v>
      </c>
      <c r="J72" s="25">
        <f>BMG!F72</f>
        <v>-2.3494299999999999E-2</v>
      </c>
      <c r="K72" s="25">
        <f>'Risk Factors'!J72</f>
        <v>0</v>
      </c>
      <c r="L72" s="102"/>
      <c r="M72" s="421">
        <v>42338</v>
      </c>
      <c r="N72" s="25">
        <f>'Risk Factors'!F72</f>
        <v>-3.0999999999999999E-3</v>
      </c>
      <c r="O72" s="25">
        <f>'Risk Factors'!M72</f>
        <v>-1.256E-2</v>
      </c>
      <c r="P72" s="25">
        <f>'Risk Factors'!N72</f>
        <v>-1.1560000000000001E-2</v>
      </c>
      <c r="Q72" s="25">
        <f>'Risk Factors'!O72</f>
        <v>-1.468E-2</v>
      </c>
      <c r="R72" s="25">
        <f>'Risk Factors'!P72</f>
        <v>-1.043E-2</v>
      </c>
      <c r="S72" s="25">
        <f>'Risk Factors'!R72</f>
        <v>-2.036E-2</v>
      </c>
      <c r="T72" s="25">
        <f>'Risk Factors'!S72</f>
        <v>-1.805E-2</v>
      </c>
      <c r="U72" s="25">
        <f>BMG!F72</f>
        <v>-2.3494299999999999E-2</v>
      </c>
      <c r="V72" s="25"/>
      <c r="W72" s="421">
        <v>42338</v>
      </c>
      <c r="X72" s="25">
        <f>'Risk Factors'!F72</f>
        <v>-3.0999999999999999E-3</v>
      </c>
      <c r="Y72" s="25">
        <f>'Risk Factors'!G72</f>
        <v>1.77E-2</v>
      </c>
      <c r="Z72" s="25">
        <f>'Risk Factors'!H72</f>
        <v>-1.9199999999999998E-2</v>
      </c>
      <c r="AA72" s="25">
        <f>'Risk Factors'!T72</f>
        <v>-1.805E-2</v>
      </c>
      <c r="AB72" s="25">
        <f>'Risk Factors'!U72</f>
        <v>-8.7999999999999988E-3</v>
      </c>
      <c r="AC72" s="25">
        <f>BMG!F72</f>
        <v>-2.3494299999999999E-2</v>
      </c>
      <c r="AE72" s="6"/>
      <c r="AG72" s="6"/>
      <c r="AI72" s="6"/>
      <c r="AK72" s="6"/>
      <c r="AM72" s="6"/>
      <c r="AO72" s="6"/>
      <c r="AQ72" s="6"/>
      <c r="AS72" s="6"/>
      <c r="AU72" s="6"/>
      <c r="AW72" s="6"/>
      <c r="AY72" s="6"/>
      <c r="BA72" s="6"/>
      <c r="BC72" s="6"/>
      <c r="BE72" s="6"/>
      <c r="BG72" s="6"/>
      <c r="BI72" s="6"/>
      <c r="BK72" s="6"/>
      <c r="BM72" s="6"/>
      <c r="BO72" s="6"/>
      <c r="BQ72" s="6"/>
      <c r="BS72" s="6"/>
      <c r="BU72" s="6"/>
      <c r="BW72" s="6"/>
      <c r="BY72" s="6"/>
      <c r="CA72" s="6"/>
      <c r="CC72" s="6"/>
      <c r="CE72" s="6"/>
      <c r="CG72" s="6"/>
      <c r="CI72" s="6"/>
      <c r="CK72" s="6"/>
      <c r="CM72" s="6"/>
      <c r="CO72" s="6"/>
      <c r="CQ72" s="6"/>
      <c r="CS72" s="6"/>
      <c r="CU72" s="6"/>
      <c r="CW72" s="6"/>
      <c r="CY72" s="6"/>
      <c r="DA72" s="6"/>
      <c r="DC72" s="6"/>
      <c r="DE72" s="6"/>
      <c r="DG72" s="6"/>
      <c r="DI72" s="6"/>
      <c r="DK72" s="6"/>
      <c r="DM72" s="6"/>
      <c r="DO72" s="6"/>
      <c r="DQ72" s="6"/>
      <c r="DS72" s="6"/>
      <c r="DU72" s="6"/>
      <c r="DW72" s="6"/>
      <c r="DY72" s="6"/>
      <c r="EA72" s="6"/>
      <c r="EC72" s="6"/>
      <c r="EE72" s="6"/>
      <c r="EG72" s="6"/>
      <c r="EI72" s="6"/>
      <c r="EK72" s="6"/>
      <c r="EM72" s="6"/>
      <c r="EO72" s="6"/>
      <c r="EQ72" s="6"/>
      <c r="ES72" s="6"/>
      <c r="EU72" s="6"/>
      <c r="EW72" s="6"/>
      <c r="EY72" s="6"/>
      <c r="FA72" s="6"/>
      <c r="FC72" s="6"/>
      <c r="FE72" s="6"/>
      <c r="FG72" s="6"/>
      <c r="FI72" s="6"/>
      <c r="FK72" s="6"/>
      <c r="FM72" s="6"/>
      <c r="FO72" s="6"/>
      <c r="FQ72" s="6"/>
      <c r="FS72" s="6"/>
      <c r="FU72" s="6"/>
      <c r="FW72" s="6"/>
      <c r="FY72" s="6"/>
      <c r="GA72" s="6"/>
      <c r="GC72" s="6"/>
      <c r="GE72" s="6"/>
    </row>
    <row r="73" spans="5:187">
      <c r="E73" s="421">
        <v>42369</v>
      </c>
      <c r="F73" s="25">
        <f>'Risk Factors'!F73</f>
        <v>-1.7399999999999999E-2</v>
      </c>
      <c r="G73" s="25">
        <f>'Risk Factors'!G73</f>
        <v>9.7000000000000003E-3</v>
      </c>
      <c r="H73" s="25">
        <f>'Risk Factors'!H73</f>
        <v>-1.6799999999999999E-2</v>
      </c>
      <c r="I73" s="25">
        <f>'Risk Factors'!I73</f>
        <v>3.3799999999999997E-2</v>
      </c>
      <c r="J73" s="25">
        <f>BMG!F73</f>
        <v>-2.0010799999999999E-2</v>
      </c>
      <c r="K73" s="25">
        <f>'Risk Factors'!J73</f>
        <v>1E-4</v>
      </c>
      <c r="L73" s="102"/>
      <c r="M73" s="421">
        <v>42369</v>
      </c>
      <c r="N73" s="25">
        <f>'Risk Factors'!F73</f>
        <v>-1.7399999999999999E-2</v>
      </c>
      <c r="O73" s="25">
        <f>'Risk Factors'!M73</f>
        <v>3.5500000000000002E-3</v>
      </c>
      <c r="P73" s="25">
        <f>'Risk Factors'!N73</f>
        <v>8.8000000000000003E-4</v>
      </c>
      <c r="Q73" s="25">
        <f>'Risk Factors'!O73</f>
        <v>-8.5999999999999998E-4</v>
      </c>
      <c r="R73" s="25">
        <f>'Risk Factors'!P73</f>
        <v>-4.2599999999999999E-3</v>
      </c>
      <c r="S73" s="25">
        <f>'Risk Factors'!R73</f>
        <v>-2.1260000000000001E-2</v>
      </c>
      <c r="T73" s="25">
        <f>'Risk Factors'!S73</f>
        <v>9.3900000000000008E-3</v>
      </c>
      <c r="U73" s="25">
        <f>BMG!F73</f>
        <v>-2.0010799999999999E-2</v>
      </c>
      <c r="V73" s="25"/>
      <c r="W73" s="421">
        <v>42369</v>
      </c>
      <c r="X73" s="25">
        <f>'Risk Factors'!F73</f>
        <v>-1.7399999999999999E-2</v>
      </c>
      <c r="Y73" s="25">
        <f>'Risk Factors'!G73</f>
        <v>9.7000000000000003E-3</v>
      </c>
      <c r="Z73" s="25">
        <f>'Risk Factors'!H73</f>
        <v>-1.6799999999999999E-2</v>
      </c>
      <c r="AA73" s="25">
        <f>'Risk Factors'!T73</f>
        <v>9.2900000000000014E-3</v>
      </c>
      <c r="AB73" s="25">
        <f>'Risk Factors'!U73</f>
        <v>-2.214E-2</v>
      </c>
      <c r="AC73" s="25">
        <f>BMG!F73</f>
        <v>-2.0010799999999999E-2</v>
      </c>
      <c r="AE73" s="6"/>
      <c r="AG73" s="6"/>
      <c r="AI73" s="6"/>
      <c r="AK73" s="6"/>
      <c r="AM73" s="6"/>
      <c r="AO73" s="6"/>
      <c r="AQ73" s="6"/>
      <c r="AS73" s="6"/>
      <c r="AU73" s="6"/>
      <c r="AW73" s="6"/>
      <c r="AY73" s="6"/>
      <c r="BA73" s="6"/>
      <c r="BC73" s="6"/>
      <c r="BE73" s="6"/>
      <c r="BG73" s="6"/>
      <c r="BI73" s="6"/>
      <c r="BK73" s="6"/>
      <c r="BM73" s="6"/>
      <c r="BO73" s="6"/>
      <c r="BQ73" s="6"/>
      <c r="BS73" s="6"/>
      <c r="BU73" s="6"/>
      <c r="BW73" s="6"/>
      <c r="BY73" s="6"/>
      <c r="CA73" s="6"/>
      <c r="CC73" s="6"/>
      <c r="CE73" s="6"/>
      <c r="CG73" s="6"/>
      <c r="CI73" s="6"/>
      <c r="CK73" s="6"/>
      <c r="CM73" s="6"/>
      <c r="CO73" s="6"/>
      <c r="CQ73" s="6"/>
      <c r="CS73" s="6"/>
      <c r="CU73" s="6"/>
      <c r="CW73" s="6"/>
      <c r="CY73" s="6"/>
      <c r="DA73" s="6"/>
      <c r="DC73" s="6"/>
      <c r="DE73" s="6"/>
      <c r="DG73" s="6"/>
      <c r="DI73" s="6"/>
      <c r="DK73" s="6"/>
      <c r="DM73" s="6"/>
      <c r="DO73" s="6"/>
      <c r="DQ73" s="6"/>
      <c r="DS73" s="6"/>
      <c r="DU73" s="6"/>
      <c r="DW73" s="6"/>
      <c r="DY73" s="6"/>
      <c r="EA73" s="6"/>
      <c r="EC73" s="6"/>
      <c r="EE73" s="6"/>
      <c r="EG73" s="6"/>
      <c r="EI73" s="6"/>
      <c r="EK73" s="6"/>
      <c r="EM73" s="6"/>
      <c r="EO73" s="6"/>
      <c r="EQ73" s="6"/>
      <c r="ES73" s="6"/>
      <c r="EU73" s="6"/>
      <c r="EW73" s="6"/>
      <c r="EY73" s="6"/>
      <c r="FA73" s="6"/>
      <c r="FC73" s="6"/>
      <c r="FE73" s="6"/>
      <c r="FG73" s="6"/>
      <c r="FI73" s="6"/>
      <c r="FK73" s="6"/>
      <c r="FM73" s="6"/>
      <c r="FO73" s="6"/>
      <c r="FQ73" s="6"/>
      <c r="FS73" s="6"/>
      <c r="FU73" s="6"/>
      <c r="FW73" s="6"/>
      <c r="FY73" s="6"/>
      <c r="GA73" s="6"/>
      <c r="GC73" s="6"/>
      <c r="GE73" s="6"/>
    </row>
    <row r="74" spans="5:187">
      <c r="E74" s="421">
        <v>42400</v>
      </c>
      <c r="F74" s="25">
        <f>'Risk Factors'!F74</f>
        <v>-6.3100000000000003E-2</v>
      </c>
      <c r="G74" s="25">
        <f>'Risk Factors'!G74</f>
        <v>-2.1000000000000001E-2</v>
      </c>
      <c r="H74" s="25">
        <f>'Risk Factors'!H74</f>
        <v>7.9000000000000008E-3</v>
      </c>
      <c r="I74" s="25">
        <f>'Risk Factors'!I74</f>
        <v>6.1000000000000004E-3</v>
      </c>
      <c r="J74" s="25">
        <f>BMG!F74</f>
        <v>5.5395000000000002E-3</v>
      </c>
      <c r="K74" s="25">
        <f>'Risk Factors'!J74</f>
        <v>1E-4</v>
      </c>
      <c r="L74" s="102"/>
      <c r="M74" s="421">
        <v>42400</v>
      </c>
      <c r="N74" s="25">
        <f>'Risk Factors'!F74</f>
        <v>-6.3100000000000003E-2</v>
      </c>
      <c r="O74" s="25">
        <f>'Risk Factors'!M74</f>
        <v>-1.31E-3</v>
      </c>
      <c r="P74" s="25">
        <f>'Risk Factors'!N74</f>
        <v>1.6800000000000001E-3</v>
      </c>
      <c r="Q74" s="25">
        <f>'Risk Factors'!O74</f>
        <v>3.79E-3</v>
      </c>
      <c r="R74" s="25">
        <f>'Risk Factors'!P74</f>
        <v>4.1599999999999996E-3</v>
      </c>
      <c r="S74" s="25">
        <f>'Risk Factors'!R74</f>
        <v>-1.6559999999999998E-2</v>
      </c>
      <c r="T74" s="25">
        <f>'Risk Factors'!S74</f>
        <v>6.9300000000000004E-3</v>
      </c>
      <c r="U74" s="25">
        <f>BMG!F74</f>
        <v>5.5395000000000002E-3</v>
      </c>
      <c r="V74" s="25"/>
      <c r="W74" s="421">
        <v>42400</v>
      </c>
      <c r="X74" s="25">
        <f>'Risk Factors'!F74</f>
        <v>-6.3100000000000003E-2</v>
      </c>
      <c r="Y74" s="25">
        <f>'Risk Factors'!G74</f>
        <v>-2.1000000000000001E-2</v>
      </c>
      <c r="Z74" s="25">
        <f>'Risk Factors'!H74</f>
        <v>7.9000000000000008E-3</v>
      </c>
      <c r="AA74" s="25">
        <f>'Risk Factors'!T74</f>
        <v>6.8300000000000001E-3</v>
      </c>
      <c r="AB74" s="25">
        <f>'Risk Factors'!U74</f>
        <v>-1.8239999999999999E-2</v>
      </c>
      <c r="AC74" s="25">
        <f>BMG!F74</f>
        <v>5.5395000000000002E-3</v>
      </c>
      <c r="AE74" s="6"/>
      <c r="AG74" s="6"/>
      <c r="AI74" s="6"/>
      <c r="AK74" s="6"/>
      <c r="AM74" s="6"/>
      <c r="AO74" s="6"/>
      <c r="AQ74" s="6"/>
      <c r="AS74" s="6"/>
      <c r="AU74" s="6"/>
      <c r="AW74" s="6"/>
      <c r="AY74" s="6"/>
      <c r="BA74" s="6"/>
      <c r="BC74" s="6"/>
      <c r="BE74" s="6"/>
      <c r="BG74" s="6"/>
      <c r="BI74" s="6"/>
      <c r="BK74" s="6"/>
      <c r="BM74" s="6"/>
      <c r="BO74" s="6"/>
      <c r="BQ74" s="6"/>
      <c r="BS74" s="6"/>
      <c r="BU74" s="6"/>
      <c r="BW74" s="6"/>
      <c r="BY74" s="6"/>
      <c r="CA74" s="6"/>
      <c r="CC74" s="6"/>
      <c r="CE74" s="6"/>
      <c r="CG74" s="6"/>
      <c r="CI74" s="6"/>
      <c r="CK74" s="6"/>
      <c r="CM74" s="6"/>
      <c r="CO74" s="6"/>
      <c r="CQ74" s="6"/>
      <c r="CS74" s="6"/>
      <c r="CU74" s="6"/>
      <c r="CW74" s="6"/>
      <c r="CY74" s="6"/>
      <c r="DA74" s="6"/>
      <c r="DC74" s="6"/>
      <c r="DE74" s="6"/>
      <c r="DG74" s="6"/>
      <c r="DI74" s="6"/>
      <c r="DK74" s="6"/>
      <c r="DM74" s="6"/>
      <c r="DO74" s="6"/>
      <c r="DQ74" s="6"/>
      <c r="DS74" s="6"/>
      <c r="DU74" s="6"/>
      <c r="DW74" s="6"/>
      <c r="DY74" s="6"/>
      <c r="EA74" s="6"/>
      <c r="EC74" s="6"/>
      <c r="EE74" s="6"/>
      <c r="EG74" s="6"/>
      <c r="EI74" s="6"/>
      <c r="EK74" s="6"/>
      <c r="EM74" s="6"/>
      <c r="EO74" s="6"/>
      <c r="EQ74" s="6"/>
      <c r="ES74" s="6"/>
      <c r="EU74" s="6"/>
      <c r="EW74" s="6"/>
      <c r="EY74" s="6"/>
      <c r="FA74" s="6"/>
      <c r="FC74" s="6"/>
      <c r="FE74" s="6"/>
      <c r="FG74" s="6"/>
      <c r="FI74" s="6"/>
      <c r="FK74" s="6"/>
      <c r="FM74" s="6"/>
      <c r="FO74" s="6"/>
      <c r="FQ74" s="6"/>
      <c r="FS74" s="6"/>
      <c r="FU74" s="6"/>
      <c r="FW74" s="6"/>
      <c r="FY74" s="6"/>
      <c r="GA74" s="6"/>
      <c r="GC74" s="6"/>
      <c r="GE74" s="6"/>
    </row>
    <row r="75" spans="5:187">
      <c r="E75" s="421">
        <v>42429</v>
      </c>
      <c r="F75" s="25">
        <f>'Risk Factors'!F75</f>
        <v>-5.1000000000000004E-3</v>
      </c>
      <c r="G75" s="25">
        <f>'Risk Factors'!G75</f>
        <v>8.3999999999999995E-3</v>
      </c>
      <c r="H75" s="25">
        <f>'Risk Factors'!H75</f>
        <v>-1.6999999999999999E-3</v>
      </c>
      <c r="I75" s="25">
        <f>'Risk Factors'!I75</f>
        <v>-2.8199999999999999E-2</v>
      </c>
      <c r="J75" s="25">
        <f>BMG!F75</f>
        <v>3.0120999999999998E-2</v>
      </c>
      <c r="K75" s="25">
        <f>'Risk Factors'!J75</f>
        <v>2.0000000000000001E-4</v>
      </c>
      <c r="L75" s="102"/>
      <c r="M75" s="421">
        <v>42429</v>
      </c>
      <c r="N75" s="25">
        <f>'Risk Factors'!F75</f>
        <v>-5.1000000000000004E-3</v>
      </c>
      <c r="O75" s="25">
        <f>'Risk Factors'!M75</f>
        <v>6.1399999999999996E-3</v>
      </c>
      <c r="P75" s="25">
        <f>'Risk Factors'!N75</f>
        <v>5.9899999999999997E-3</v>
      </c>
      <c r="Q75" s="25">
        <f>'Risk Factors'!O75</f>
        <v>6.8700000000000002E-3</v>
      </c>
      <c r="R75" s="25">
        <f>'Risk Factors'!P75</f>
        <v>1.078E-2</v>
      </c>
      <c r="S75" s="25">
        <f>'Risk Factors'!R75</f>
        <v>3.7200000000000002E-3</v>
      </c>
      <c r="T75" s="25">
        <f>'Risk Factors'!S75</f>
        <v>2.3699999999999999E-2</v>
      </c>
      <c r="U75" s="25">
        <f>BMG!F75</f>
        <v>3.0120999999999998E-2</v>
      </c>
      <c r="V75" s="25"/>
      <c r="W75" s="421">
        <v>42429</v>
      </c>
      <c r="X75" s="25">
        <f>'Risk Factors'!F75</f>
        <v>-5.1000000000000004E-3</v>
      </c>
      <c r="Y75" s="25">
        <f>'Risk Factors'!G75</f>
        <v>8.3999999999999995E-3</v>
      </c>
      <c r="Z75" s="25">
        <f>'Risk Factors'!H75</f>
        <v>-1.6999999999999999E-3</v>
      </c>
      <c r="AA75" s="25">
        <f>'Risk Factors'!T75</f>
        <v>2.35E-2</v>
      </c>
      <c r="AB75" s="25">
        <f>'Risk Factors'!U75</f>
        <v>-2.2699999999999994E-3</v>
      </c>
      <c r="AC75" s="25">
        <f>BMG!F75</f>
        <v>3.0120999999999998E-2</v>
      </c>
      <c r="AE75" s="6"/>
      <c r="AG75" s="6"/>
      <c r="AI75" s="6"/>
      <c r="AK75" s="6"/>
      <c r="AM75" s="6"/>
      <c r="AO75" s="6"/>
      <c r="AQ75" s="6"/>
      <c r="AS75" s="6"/>
      <c r="AU75" s="6"/>
      <c r="AW75" s="6"/>
      <c r="AY75" s="6"/>
      <c r="BA75" s="6"/>
      <c r="BC75" s="6"/>
      <c r="BE75" s="6"/>
      <c r="BG75" s="6"/>
      <c r="BI75" s="6"/>
      <c r="BK75" s="6"/>
      <c r="BM75" s="6"/>
      <c r="BO75" s="6"/>
      <c r="BQ75" s="6"/>
      <c r="BS75" s="6"/>
      <c r="BU75" s="6"/>
      <c r="BW75" s="6"/>
      <c r="BY75" s="6"/>
      <c r="CA75" s="6"/>
      <c r="CC75" s="6"/>
      <c r="CE75" s="6"/>
      <c r="CG75" s="6"/>
      <c r="CI75" s="6"/>
      <c r="CK75" s="6"/>
      <c r="CM75" s="6"/>
      <c r="CO75" s="6"/>
      <c r="CQ75" s="6"/>
      <c r="CS75" s="6"/>
      <c r="CU75" s="6"/>
      <c r="CW75" s="6"/>
      <c r="CY75" s="6"/>
      <c r="DA75" s="6"/>
      <c r="DC75" s="6"/>
      <c r="DE75" s="6"/>
      <c r="DG75" s="6"/>
      <c r="DI75" s="6"/>
      <c r="DK75" s="6"/>
      <c r="DM75" s="6"/>
      <c r="DO75" s="6"/>
      <c r="DQ75" s="6"/>
      <c r="DS75" s="6"/>
      <c r="DU75" s="6"/>
      <c r="DW75" s="6"/>
      <c r="DY75" s="6"/>
      <c r="EA75" s="6"/>
      <c r="EC75" s="6"/>
      <c r="EE75" s="6"/>
      <c r="EG75" s="6"/>
      <c r="EI75" s="6"/>
      <c r="EK75" s="6"/>
      <c r="EM75" s="6"/>
      <c r="EO75" s="6"/>
      <c r="EQ75" s="6"/>
      <c r="ES75" s="6"/>
      <c r="EU75" s="6"/>
      <c r="EW75" s="6"/>
      <c r="EY75" s="6"/>
      <c r="FA75" s="6"/>
      <c r="FC75" s="6"/>
      <c r="FE75" s="6"/>
      <c r="FG75" s="6"/>
      <c r="FI75" s="6"/>
      <c r="FK75" s="6"/>
      <c r="FM75" s="6"/>
      <c r="FO75" s="6"/>
      <c r="FQ75" s="6"/>
      <c r="FS75" s="6"/>
      <c r="FU75" s="6"/>
      <c r="FW75" s="6"/>
      <c r="FY75" s="6"/>
      <c r="GA75" s="6"/>
      <c r="GC75" s="6"/>
      <c r="GE75" s="6"/>
    </row>
    <row r="76" spans="5:187">
      <c r="E76" s="421">
        <v>42460</v>
      </c>
      <c r="F76" s="25">
        <f>'Risk Factors'!F76</f>
        <v>6.9099999999999995E-2</v>
      </c>
      <c r="G76" s="25">
        <f>'Risk Factors'!G76</f>
        <v>1.29E-2</v>
      </c>
      <c r="H76" s="25">
        <f>'Risk Factors'!H76</f>
        <v>5.5999999999999999E-3</v>
      </c>
      <c r="I76" s="25">
        <f>'Risk Factors'!I76</f>
        <v>-2.7900000000000001E-2</v>
      </c>
      <c r="J76" s="25">
        <f>BMG!F76</f>
        <v>1.9468699999999999E-2</v>
      </c>
      <c r="K76" s="25">
        <f>'Risk Factors'!J76</f>
        <v>2.0000000000000001E-4</v>
      </c>
      <c r="L76" s="102"/>
      <c r="M76" s="421">
        <v>42460</v>
      </c>
      <c r="N76" s="25">
        <f>'Risk Factors'!F76</f>
        <v>6.9099999999999995E-2</v>
      </c>
      <c r="O76" s="25">
        <f>'Risk Factors'!M76</f>
        <v>2.1700000000000001E-2</v>
      </c>
      <c r="P76" s="25">
        <f>'Risk Factors'!N76</f>
        <v>3.0259999999999999E-2</v>
      </c>
      <c r="Q76" s="25">
        <f>'Risk Factors'!O76</f>
        <v>4.07E-2</v>
      </c>
      <c r="R76" s="25">
        <f>'Risk Factors'!P76</f>
        <v>3.8830000000000003E-2</v>
      </c>
      <c r="S76" s="25">
        <f>'Risk Factors'!R76</f>
        <v>5.2819999999999999E-2</v>
      </c>
      <c r="T76" s="25">
        <f>'Risk Factors'!S76</f>
        <v>1.7299999999999999E-2</v>
      </c>
      <c r="U76" s="25">
        <f>BMG!F76</f>
        <v>1.9468699999999999E-2</v>
      </c>
      <c r="V76" s="25"/>
      <c r="W76" s="421">
        <v>42460</v>
      </c>
      <c r="X76" s="25">
        <f>'Risk Factors'!F76</f>
        <v>6.9099999999999995E-2</v>
      </c>
      <c r="Y76" s="25">
        <f>'Risk Factors'!G76</f>
        <v>1.29E-2</v>
      </c>
      <c r="Z76" s="25">
        <f>'Risk Factors'!H76</f>
        <v>5.5999999999999999E-3</v>
      </c>
      <c r="AA76" s="25">
        <f>'Risk Factors'!T76</f>
        <v>1.7100000000000001E-2</v>
      </c>
      <c r="AB76" s="25">
        <f>'Risk Factors'!U76</f>
        <v>2.256E-2</v>
      </c>
      <c r="AC76" s="25">
        <f>BMG!F76</f>
        <v>1.9468699999999999E-2</v>
      </c>
      <c r="AE76" s="6"/>
      <c r="AG76" s="6"/>
      <c r="AI76" s="6"/>
      <c r="AK76" s="6"/>
      <c r="AM76" s="6"/>
      <c r="AO76" s="6"/>
      <c r="AQ76" s="6"/>
      <c r="AS76" s="6"/>
      <c r="AU76" s="6"/>
      <c r="AW76" s="6"/>
      <c r="AY76" s="6"/>
      <c r="BA76" s="6"/>
      <c r="BC76" s="6"/>
      <c r="BE76" s="6"/>
      <c r="BG76" s="6"/>
      <c r="BI76" s="6"/>
      <c r="BK76" s="6"/>
      <c r="BM76" s="6"/>
      <c r="BO76" s="6"/>
      <c r="BQ76" s="6"/>
      <c r="BS76" s="6"/>
      <c r="BU76" s="6"/>
      <c r="BW76" s="6"/>
      <c r="BY76" s="6"/>
      <c r="CA76" s="6"/>
      <c r="CC76" s="6"/>
      <c r="CE76" s="6"/>
      <c r="CG76" s="6"/>
      <c r="CI76" s="6"/>
      <c r="CK76" s="6"/>
      <c r="CM76" s="6"/>
      <c r="CO76" s="6"/>
      <c r="CQ76" s="6"/>
      <c r="CS76" s="6"/>
      <c r="CU76" s="6"/>
      <c r="CW76" s="6"/>
      <c r="CY76" s="6"/>
      <c r="DA76" s="6"/>
      <c r="DC76" s="6"/>
      <c r="DE76" s="6"/>
      <c r="DG76" s="6"/>
      <c r="DI76" s="6"/>
      <c r="DK76" s="6"/>
      <c r="DM76" s="6"/>
      <c r="DO76" s="6"/>
      <c r="DQ76" s="6"/>
      <c r="DS76" s="6"/>
      <c r="DU76" s="6"/>
      <c r="DW76" s="6"/>
      <c r="DY76" s="6"/>
      <c r="EA76" s="6"/>
      <c r="EC76" s="6"/>
      <c r="EE76" s="6"/>
      <c r="EG76" s="6"/>
      <c r="EI76" s="6"/>
      <c r="EK76" s="6"/>
      <c r="EM76" s="6"/>
      <c r="EO76" s="6"/>
      <c r="EQ76" s="6"/>
      <c r="ES76" s="6"/>
      <c r="EU76" s="6"/>
      <c r="EW76" s="6"/>
      <c r="EY76" s="6"/>
      <c r="FA76" s="6"/>
      <c r="FC76" s="6"/>
      <c r="FE76" s="6"/>
      <c r="FG76" s="6"/>
      <c r="FI76" s="6"/>
      <c r="FK76" s="6"/>
      <c r="FM76" s="6"/>
      <c r="FO76" s="6"/>
      <c r="FQ76" s="6"/>
      <c r="FS76" s="6"/>
      <c r="FU76" s="6"/>
      <c r="FW76" s="6"/>
      <c r="FY76" s="6"/>
      <c r="GA76" s="6"/>
      <c r="GC76" s="6"/>
      <c r="GE76" s="6"/>
    </row>
    <row r="77" spans="5:187">
      <c r="E77" s="421">
        <v>42490</v>
      </c>
      <c r="F77" s="25">
        <f>'Risk Factors'!F77</f>
        <v>1.9E-2</v>
      </c>
      <c r="G77" s="25">
        <f>'Risk Factors'!G77</f>
        <v>9.9000000000000008E-3</v>
      </c>
      <c r="H77" s="25">
        <f>'Risk Factors'!H77</f>
        <v>2.9899999999999999E-2</v>
      </c>
      <c r="I77" s="25">
        <f>'Risk Factors'!I77</f>
        <v>-3.2399999999999998E-2</v>
      </c>
      <c r="J77" s="25">
        <f>BMG!F77</f>
        <v>3.6406000000000001E-2</v>
      </c>
      <c r="K77" s="25">
        <f>'Risk Factors'!J77</f>
        <v>1E-4</v>
      </c>
      <c r="L77" s="102"/>
      <c r="M77" s="421">
        <v>42490</v>
      </c>
      <c r="N77" s="25">
        <f>'Risk Factors'!F77</f>
        <v>1.9E-2</v>
      </c>
      <c r="O77" s="25">
        <f>'Risk Factors'!M77</f>
        <v>8.5100000000000002E-3</v>
      </c>
      <c r="P77" s="25">
        <f>'Risk Factors'!N77</f>
        <v>1.031E-2</v>
      </c>
      <c r="Q77" s="25">
        <f>'Risk Factors'!O77</f>
        <v>1.1339999999999999E-2</v>
      </c>
      <c r="R77" s="25">
        <f>'Risk Factors'!P77</f>
        <v>1.413E-2</v>
      </c>
      <c r="S77" s="25">
        <f>'Risk Factors'!R77</f>
        <v>3.6049999999999999E-2</v>
      </c>
      <c r="T77" s="25">
        <f>'Risk Factors'!S77</f>
        <v>1.3390000000000001E-2</v>
      </c>
      <c r="U77" s="25">
        <f>BMG!F77</f>
        <v>3.6406000000000001E-2</v>
      </c>
      <c r="V77" s="25"/>
      <c r="W77" s="421">
        <v>42490</v>
      </c>
      <c r="X77" s="25">
        <f>'Risk Factors'!F77</f>
        <v>1.9E-2</v>
      </c>
      <c r="Y77" s="25">
        <f>'Risk Factors'!G77</f>
        <v>9.9000000000000008E-3</v>
      </c>
      <c r="Z77" s="25">
        <f>'Risk Factors'!H77</f>
        <v>2.9899999999999999E-2</v>
      </c>
      <c r="AA77" s="25">
        <f>'Risk Factors'!T77</f>
        <v>1.3290000000000001E-2</v>
      </c>
      <c r="AB77" s="25">
        <f>'Risk Factors'!U77</f>
        <v>2.5739999999999999E-2</v>
      </c>
      <c r="AC77" s="25">
        <f>BMG!F77</f>
        <v>3.6406000000000001E-2</v>
      </c>
      <c r="AE77" s="6"/>
      <c r="AG77" s="6"/>
      <c r="AI77" s="6"/>
      <c r="AK77" s="6"/>
      <c r="AM77" s="6"/>
      <c r="AO77" s="6"/>
      <c r="AQ77" s="6"/>
      <c r="AS77" s="6"/>
      <c r="AU77" s="6"/>
      <c r="AW77" s="6"/>
      <c r="AY77" s="6"/>
      <c r="BA77" s="6"/>
      <c r="BC77" s="6"/>
      <c r="BE77" s="6"/>
      <c r="BG77" s="6"/>
      <c r="BI77" s="6"/>
      <c r="BK77" s="6"/>
      <c r="BM77" s="6"/>
      <c r="BO77" s="6"/>
      <c r="BQ77" s="6"/>
      <c r="BS77" s="6"/>
      <c r="BU77" s="6"/>
      <c r="BW77" s="6"/>
      <c r="BY77" s="6"/>
      <c r="CA77" s="6"/>
      <c r="CC77" s="6"/>
      <c r="CE77" s="6"/>
      <c r="CG77" s="6"/>
      <c r="CI77" s="6"/>
      <c r="CK77" s="6"/>
      <c r="CM77" s="6"/>
      <c r="CO77" s="6"/>
      <c r="CQ77" s="6"/>
      <c r="CS77" s="6"/>
      <c r="CU77" s="6"/>
      <c r="CW77" s="6"/>
      <c r="CY77" s="6"/>
      <c r="DA77" s="6"/>
      <c r="DC77" s="6"/>
      <c r="DE77" s="6"/>
      <c r="DG77" s="6"/>
      <c r="DI77" s="6"/>
      <c r="DK77" s="6"/>
      <c r="DM77" s="6"/>
      <c r="DO77" s="6"/>
      <c r="DQ77" s="6"/>
      <c r="DS77" s="6"/>
      <c r="DU77" s="6"/>
      <c r="DW77" s="6"/>
      <c r="DY77" s="6"/>
      <c r="EA77" s="6"/>
      <c r="EC77" s="6"/>
      <c r="EE77" s="6"/>
      <c r="EG77" s="6"/>
      <c r="EI77" s="6"/>
      <c r="EK77" s="6"/>
      <c r="EM77" s="6"/>
      <c r="EO77" s="6"/>
      <c r="EQ77" s="6"/>
      <c r="ES77" s="6"/>
      <c r="EU77" s="6"/>
      <c r="EW77" s="6"/>
      <c r="EY77" s="6"/>
      <c r="FA77" s="6"/>
      <c r="FC77" s="6"/>
      <c r="FE77" s="6"/>
      <c r="FG77" s="6"/>
      <c r="FI77" s="6"/>
      <c r="FK77" s="6"/>
      <c r="FM77" s="6"/>
      <c r="FO77" s="6"/>
      <c r="FQ77" s="6"/>
      <c r="FS77" s="6"/>
      <c r="FU77" s="6"/>
      <c r="FW77" s="6"/>
      <c r="FY77" s="6"/>
      <c r="GA77" s="6"/>
      <c r="GC77" s="6"/>
      <c r="GE77" s="6"/>
    </row>
    <row r="78" spans="5:187">
      <c r="E78" s="421">
        <v>42521</v>
      </c>
      <c r="F78" s="25">
        <f>'Risk Factors'!F78</f>
        <v>4.4999999999999997E-3</v>
      </c>
      <c r="G78" s="25">
        <f>'Risk Factors'!G78</f>
        <v>0</v>
      </c>
      <c r="H78" s="25">
        <f>'Risk Factors'!H78</f>
        <v>-2.0400000000000001E-2</v>
      </c>
      <c r="I78" s="25">
        <f>'Risk Factors'!I78</f>
        <v>2.8299999999999999E-2</v>
      </c>
      <c r="J78" s="25">
        <f>BMG!F78</f>
        <v>-2.05615E-2</v>
      </c>
      <c r="K78" s="25">
        <f>'Risk Factors'!J78</f>
        <v>1E-4</v>
      </c>
      <c r="L78" s="102"/>
      <c r="M78" s="421">
        <v>42521</v>
      </c>
      <c r="N78" s="25">
        <f>'Risk Factors'!F78</f>
        <v>4.4999999999999997E-3</v>
      </c>
      <c r="O78" s="25">
        <f>'Risk Factors'!M78</f>
        <v>-9.7199999999999995E-3</v>
      </c>
      <c r="P78" s="25">
        <f>'Risk Factors'!N78</f>
        <v>-1.064E-2</v>
      </c>
      <c r="Q78" s="25">
        <f>'Risk Factors'!O78</f>
        <v>-1.069E-2</v>
      </c>
      <c r="R78" s="25">
        <f>'Risk Factors'!P78</f>
        <v>-6.8500000000000002E-3</v>
      </c>
      <c r="S78" s="25">
        <f>'Risk Factors'!R78</f>
        <v>3.6999999999999999E-4</v>
      </c>
      <c r="T78" s="25">
        <f>'Risk Factors'!S78</f>
        <v>-1.6369999999999999E-2</v>
      </c>
      <c r="U78" s="25">
        <f>BMG!F78</f>
        <v>-2.05615E-2</v>
      </c>
      <c r="V78" s="25"/>
      <c r="W78" s="421">
        <v>42521</v>
      </c>
      <c r="X78" s="25">
        <f>'Risk Factors'!F78</f>
        <v>4.4999999999999997E-3</v>
      </c>
      <c r="Y78" s="25">
        <f>'Risk Factors'!G78</f>
        <v>0</v>
      </c>
      <c r="Z78" s="25">
        <f>'Risk Factors'!H78</f>
        <v>-2.0400000000000001E-2</v>
      </c>
      <c r="AA78" s="25">
        <f>'Risk Factors'!T78</f>
        <v>-1.6469999999999999E-2</v>
      </c>
      <c r="AB78" s="25">
        <f>'Risk Factors'!U78</f>
        <v>1.1010000000000001E-2</v>
      </c>
      <c r="AC78" s="25">
        <f>BMG!F78</f>
        <v>-2.05615E-2</v>
      </c>
      <c r="AE78" s="6"/>
      <c r="AG78" s="6"/>
      <c r="AI78" s="6"/>
      <c r="AK78" s="6"/>
      <c r="AM78" s="6"/>
      <c r="AO78" s="6"/>
      <c r="AQ78" s="6"/>
      <c r="AS78" s="6"/>
      <c r="AU78" s="6"/>
      <c r="AW78" s="6"/>
      <c r="AY78" s="6"/>
      <c r="BA78" s="6"/>
      <c r="BC78" s="6"/>
      <c r="BE78" s="6"/>
      <c r="BG78" s="6"/>
      <c r="BI78" s="6"/>
      <c r="BK78" s="6"/>
      <c r="BM78" s="6"/>
      <c r="BO78" s="6"/>
      <c r="BQ78" s="6"/>
      <c r="BS78" s="6"/>
      <c r="BU78" s="6"/>
      <c r="BW78" s="6"/>
      <c r="BY78" s="6"/>
      <c r="CA78" s="6"/>
      <c r="CC78" s="6"/>
      <c r="CE78" s="6"/>
      <c r="CG78" s="6"/>
      <c r="CI78" s="6"/>
      <c r="CK78" s="6"/>
      <c r="CM78" s="6"/>
      <c r="CO78" s="6"/>
      <c r="CQ78" s="6"/>
      <c r="CS78" s="6"/>
      <c r="CU78" s="6"/>
      <c r="CW78" s="6"/>
      <c r="CY78" s="6"/>
      <c r="DA78" s="6"/>
      <c r="DC78" s="6"/>
      <c r="DE78" s="6"/>
      <c r="DG78" s="6"/>
      <c r="DI78" s="6"/>
      <c r="DK78" s="6"/>
      <c r="DM78" s="6"/>
      <c r="DO78" s="6"/>
      <c r="DQ78" s="6"/>
      <c r="DS78" s="6"/>
      <c r="DU78" s="6"/>
      <c r="DW78" s="6"/>
      <c r="DY78" s="6"/>
      <c r="EA78" s="6"/>
      <c r="EC78" s="6"/>
      <c r="EE78" s="6"/>
      <c r="EG78" s="6"/>
      <c r="EI78" s="6"/>
      <c r="EK78" s="6"/>
      <c r="EM78" s="6"/>
      <c r="EO78" s="6"/>
      <c r="EQ78" s="6"/>
      <c r="ES78" s="6"/>
      <c r="EU78" s="6"/>
      <c r="EW78" s="6"/>
      <c r="EY78" s="6"/>
      <c r="FA78" s="6"/>
      <c r="FC78" s="6"/>
      <c r="FE78" s="6"/>
      <c r="FG78" s="6"/>
      <c r="FI78" s="6"/>
      <c r="FK78" s="6"/>
      <c r="FM78" s="6"/>
      <c r="FO78" s="6"/>
      <c r="FQ78" s="6"/>
      <c r="FS78" s="6"/>
      <c r="FU78" s="6"/>
      <c r="FW78" s="6"/>
      <c r="FY78" s="6"/>
      <c r="GA78" s="6"/>
      <c r="GC78" s="6"/>
      <c r="GE78" s="6"/>
    </row>
    <row r="79" spans="5:187">
      <c r="E79" s="421">
        <v>42551</v>
      </c>
      <c r="F79" s="25">
        <f>'Risk Factors'!F79</f>
        <v>-1.67E-2</v>
      </c>
      <c r="G79" s="25">
        <f>'Risk Factors'!G79</f>
        <v>-4.7999999999999996E-3</v>
      </c>
      <c r="H79" s="25">
        <f>'Risk Factors'!H79</f>
        <v>-7.1999999999999998E-3</v>
      </c>
      <c r="I79" s="25">
        <f>'Risk Factors'!I79</f>
        <v>6.0199999999999997E-2</v>
      </c>
      <c r="J79" s="25">
        <f>BMG!F79</f>
        <v>2.6065499999999998E-2</v>
      </c>
      <c r="K79" s="25">
        <f>'Risk Factors'!J79</f>
        <v>2.0000000000000001E-4</v>
      </c>
      <c r="L79" s="102"/>
      <c r="M79" s="421">
        <v>42551</v>
      </c>
      <c r="N79" s="25">
        <f>'Risk Factors'!F79</f>
        <v>-1.67E-2</v>
      </c>
      <c r="O79" s="25">
        <f>'Risk Factors'!M79</f>
        <v>5.4000000000000003E-3</v>
      </c>
      <c r="P79" s="25">
        <f>'Risk Factors'!N79</f>
        <v>9.5700000000000004E-3</v>
      </c>
      <c r="Q79" s="25">
        <f>'Risk Factors'!O79</f>
        <v>1.2200000000000001E-2</v>
      </c>
      <c r="R79" s="25">
        <f>'Risk Factors'!P79</f>
        <v>1.7049999999999999E-2</v>
      </c>
      <c r="S79" s="25">
        <f>'Risk Factors'!R79</f>
        <v>7.7499999999999999E-3</v>
      </c>
      <c r="T79" s="25">
        <f>'Risk Factors'!S79</f>
        <v>2.6499999999999999E-2</v>
      </c>
      <c r="U79" s="25">
        <f>BMG!F79</f>
        <v>2.6065499999999998E-2</v>
      </c>
      <c r="V79" s="25"/>
      <c r="W79" s="421">
        <v>42551</v>
      </c>
      <c r="X79" s="25">
        <f>'Risk Factors'!F79</f>
        <v>-1.67E-2</v>
      </c>
      <c r="Y79" s="25">
        <f>'Risk Factors'!G79</f>
        <v>-4.7999999999999996E-3</v>
      </c>
      <c r="Z79" s="25">
        <f>'Risk Factors'!H79</f>
        <v>-7.1999999999999998E-3</v>
      </c>
      <c r="AA79" s="25">
        <f>'Risk Factors'!T79</f>
        <v>2.63E-2</v>
      </c>
      <c r="AB79" s="25">
        <f>'Risk Factors'!U79</f>
        <v>-1.8200000000000004E-3</v>
      </c>
      <c r="AC79" s="25">
        <f>BMG!F79</f>
        <v>2.6065499999999998E-2</v>
      </c>
      <c r="AE79" s="6"/>
      <c r="AG79" s="6"/>
      <c r="AI79" s="6"/>
      <c r="AK79" s="6"/>
      <c r="AM79" s="6"/>
      <c r="AO79" s="6"/>
      <c r="AQ79" s="6"/>
      <c r="AS79" s="6"/>
      <c r="AU79" s="6"/>
      <c r="AW79" s="6"/>
      <c r="AY79" s="6"/>
      <c r="BA79" s="6"/>
      <c r="BC79" s="6"/>
      <c r="BE79" s="6"/>
      <c r="BG79" s="6"/>
      <c r="BI79" s="6"/>
      <c r="BK79" s="6"/>
      <c r="BM79" s="6"/>
      <c r="BO79" s="6"/>
      <c r="BQ79" s="6"/>
      <c r="BS79" s="6"/>
      <c r="BU79" s="6"/>
      <c r="BW79" s="6"/>
      <c r="BY79" s="6"/>
      <c r="CA79" s="6"/>
      <c r="CC79" s="6"/>
      <c r="CE79" s="6"/>
      <c r="CG79" s="6"/>
      <c r="CI79" s="6"/>
      <c r="CK79" s="6"/>
      <c r="CM79" s="6"/>
      <c r="CO79" s="6"/>
      <c r="CQ79" s="6"/>
      <c r="CS79" s="6"/>
      <c r="CU79" s="6"/>
      <c r="CW79" s="6"/>
      <c r="CY79" s="6"/>
      <c r="DA79" s="6"/>
      <c r="DC79" s="6"/>
      <c r="DE79" s="6"/>
      <c r="DG79" s="6"/>
      <c r="DI79" s="6"/>
      <c r="DK79" s="6"/>
      <c r="DM79" s="6"/>
      <c r="DO79" s="6"/>
      <c r="DQ79" s="6"/>
      <c r="DS79" s="6"/>
      <c r="DU79" s="6"/>
      <c r="DW79" s="6"/>
      <c r="DY79" s="6"/>
      <c r="EA79" s="6"/>
      <c r="EC79" s="6"/>
      <c r="EE79" s="6"/>
      <c r="EG79" s="6"/>
      <c r="EI79" s="6"/>
      <c r="EK79" s="6"/>
      <c r="EM79" s="6"/>
      <c r="EO79" s="6"/>
      <c r="EQ79" s="6"/>
      <c r="ES79" s="6"/>
      <c r="EU79" s="6"/>
      <c r="EW79" s="6"/>
      <c r="EY79" s="6"/>
      <c r="FA79" s="6"/>
      <c r="FC79" s="6"/>
      <c r="FE79" s="6"/>
      <c r="FG79" s="6"/>
      <c r="FI79" s="6"/>
      <c r="FK79" s="6"/>
      <c r="FM79" s="6"/>
      <c r="FO79" s="6"/>
      <c r="FQ79" s="6"/>
      <c r="FS79" s="6"/>
      <c r="FU79" s="6"/>
      <c r="FW79" s="6"/>
      <c r="FY79" s="6"/>
      <c r="GA79" s="6"/>
      <c r="GC79" s="6"/>
      <c r="GE79" s="6"/>
    </row>
    <row r="80" spans="5:187">
      <c r="E80" s="421">
        <v>42582</v>
      </c>
      <c r="F80" s="25">
        <f>'Risk Factors'!F80</f>
        <v>4.4900000000000002E-2</v>
      </c>
      <c r="G80" s="25">
        <f>'Risk Factors'!G80</f>
        <v>1.34E-2</v>
      </c>
      <c r="H80" s="25">
        <f>'Risk Factors'!H80</f>
        <v>3.0000000000000001E-3</v>
      </c>
      <c r="I80" s="25">
        <f>'Risk Factors'!I80</f>
        <v>-1.7500000000000002E-2</v>
      </c>
      <c r="J80" s="25">
        <f>BMG!F80</f>
        <v>-7.8545000000000004E-3</v>
      </c>
      <c r="K80" s="25">
        <f>'Risk Factors'!J80</f>
        <v>2.0000000000000001E-4</v>
      </c>
      <c r="L80" s="102"/>
      <c r="M80" s="421">
        <v>42582</v>
      </c>
      <c r="N80" s="25">
        <f>'Risk Factors'!F80</f>
        <v>4.4900000000000002E-2</v>
      </c>
      <c r="O80" s="25">
        <f>'Risk Factors'!M80</f>
        <v>3.96E-3</v>
      </c>
      <c r="P80" s="25">
        <f>'Risk Factors'!N80</f>
        <v>9.0299999999999998E-3</v>
      </c>
      <c r="Q80" s="25">
        <f>'Risk Factors'!O80</f>
        <v>1.54E-2</v>
      </c>
      <c r="R80" s="25">
        <f>'Risk Factors'!P80</f>
        <v>2.0570000000000001E-2</v>
      </c>
      <c r="S80" s="25">
        <f>'Risk Factors'!R80</f>
        <v>2.5559999999999999E-2</v>
      </c>
      <c r="T80" s="25">
        <f>'Risk Factors'!S80</f>
        <v>2.63E-3</v>
      </c>
      <c r="U80" s="25">
        <f>BMG!F80</f>
        <v>-7.8545000000000004E-3</v>
      </c>
      <c r="V80" s="25"/>
      <c r="W80" s="421">
        <v>42582</v>
      </c>
      <c r="X80" s="25">
        <f>'Risk Factors'!F80</f>
        <v>4.4900000000000002E-2</v>
      </c>
      <c r="Y80" s="25">
        <f>'Risk Factors'!G80</f>
        <v>1.34E-2</v>
      </c>
      <c r="Z80" s="25">
        <f>'Risk Factors'!H80</f>
        <v>3.0000000000000001E-3</v>
      </c>
      <c r="AA80" s="25">
        <f>'Risk Factors'!T80</f>
        <v>2.4299999999999999E-3</v>
      </c>
      <c r="AB80" s="25">
        <f>'Risk Factors'!U80</f>
        <v>1.653E-2</v>
      </c>
      <c r="AC80" s="25">
        <f>BMG!F80</f>
        <v>-7.8545000000000004E-3</v>
      </c>
      <c r="AE80" s="6"/>
      <c r="AG80" s="6"/>
      <c r="AI80" s="6"/>
      <c r="AK80" s="6"/>
      <c r="AM80" s="6"/>
      <c r="AO80" s="6"/>
      <c r="AQ80" s="6"/>
      <c r="AS80" s="6"/>
      <c r="AU80" s="6"/>
      <c r="AW80" s="6"/>
      <c r="AY80" s="6"/>
      <c r="BA80" s="6"/>
      <c r="BC80" s="6"/>
      <c r="BE80" s="6"/>
      <c r="BG80" s="6"/>
      <c r="BI80" s="6"/>
      <c r="BK80" s="6"/>
      <c r="BM80" s="6"/>
      <c r="BO80" s="6"/>
      <c r="BQ80" s="6"/>
      <c r="BS80" s="6"/>
      <c r="BU80" s="6"/>
      <c r="BW80" s="6"/>
      <c r="BY80" s="6"/>
      <c r="CA80" s="6"/>
      <c r="CC80" s="6"/>
      <c r="CE80" s="6"/>
      <c r="CG80" s="6"/>
      <c r="CI80" s="6"/>
      <c r="CK80" s="6"/>
      <c r="CM80" s="6"/>
      <c r="CO80" s="6"/>
      <c r="CQ80" s="6"/>
      <c r="CS80" s="6"/>
      <c r="CU80" s="6"/>
      <c r="CW80" s="6"/>
      <c r="CY80" s="6"/>
      <c r="DA80" s="6"/>
      <c r="DC80" s="6"/>
      <c r="DE80" s="6"/>
      <c r="DG80" s="6"/>
      <c r="DI80" s="6"/>
      <c r="DK80" s="6"/>
      <c r="DM80" s="6"/>
      <c r="DO80" s="6"/>
      <c r="DQ80" s="6"/>
      <c r="DS80" s="6"/>
      <c r="DU80" s="6"/>
      <c r="DW80" s="6"/>
      <c r="DY80" s="6"/>
      <c r="EA80" s="6"/>
      <c r="EC80" s="6"/>
      <c r="EE80" s="6"/>
      <c r="EG80" s="6"/>
      <c r="EI80" s="6"/>
      <c r="EK80" s="6"/>
      <c r="EM80" s="6"/>
      <c r="EO80" s="6"/>
      <c r="EQ80" s="6"/>
      <c r="ES80" s="6"/>
      <c r="EU80" s="6"/>
      <c r="EW80" s="6"/>
      <c r="EY80" s="6"/>
      <c r="FA80" s="6"/>
      <c r="FC80" s="6"/>
      <c r="FE80" s="6"/>
      <c r="FG80" s="6"/>
      <c r="FI80" s="6"/>
      <c r="FK80" s="6"/>
      <c r="FM80" s="6"/>
      <c r="FO80" s="6"/>
      <c r="FQ80" s="6"/>
      <c r="FS80" s="6"/>
      <c r="FU80" s="6"/>
      <c r="FW80" s="6"/>
      <c r="FY80" s="6"/>
      <c r="GA80" s="6"/>
      <c r="GC80" s="6"/>
      <c r="GE80" s="6"/>
    </row>
    <row r="81" spans="5:187">
      <c r="E81" s="421">
        <v>42613</v>
      </c>
      <c r="F81" s="25">
        <f>'Risk Factors'!F81</f>
        <v>3.0000000000000001E-3</v>
      </c>
      <c r="G81" s="25">
        <f>'Risk Factors'!G81</f>
        <v>3.3999999999999998E-3</v>
      </c>
      <c r="H81" s="25">
        <f>'Risk Factors'!H81</f>
        <v>2.23E-2</v>
      </c>
      <c r="I81" s="25">
        <f>'Risk Factors'!I81</f>
        <v>-3.9100000000000003E-2</v>
      </c>
      <c r="J81" s="25">
        <f>BMG!F81</f>
        <v>-8.267E-3</v>
      </c>
      <c r="K81" s="25">
        <f>'Risk Factors'!J81</f>
        <v>2.0000000000000001E-4</v>
      </c>
      <c r="L81" s="102"/>
      <c r="M81" s="421">
        <v>42613</v>
      </c>
      <c r="N81" s="25">
        <f>'Risk Factors'!F81</f>
        <v>3.0000000000000001E-3</v>
      </c>
      <c r="O81" s="25">
        <f>'Risk Factors'!M81</f>
        <v>-1.2199999999999999E-3</v>
      </c>
      <c r="P81" s="25">
        <f>'Risk Factors'!N81</f>
        <v>-4.6999999999999999E-4</v>
      </c>
      <c r="Q81" s="25">
        <f>'Risk Factors'!O81</f>
        <v>8.8999999999999995E-4</v>
      </c>
      <c r="R81" s="25">
        <f>'Risk Factors'!P81</f>
        <v>2.8999999999999998E-3</v>
      </c>
      <c r="S81" s="25">
        <f>'Risk Factors'!R81</f>
        <v>1.967E-2</v>
      </c>
      <c r="T81" s="25">
        <f>'Risk Factors'!S81</f>
        <v>-7.1999999999999998E-3</v>
      </c>
      <c r="U81" s="25">
        <f>BMG!F81</f>
        <v>-8.267E-3</v>
      </c>
      <c r="V81" s="25"/>
      <c r="W81" s="421">
        <v>42613</v>
      </c>
      <c r="X81" s="25">
        <f>'Risk Factors'!F81</f>
        <v>3.0000000000000001E-3</v>
      </c>
      <c r="Y81" s="25">
        <f>'Risk Factors'!G81</f>
        <v>3.3999999999999998E-3</v>
      </c>
      <c r="Z81" s="25">
        <f>'Risk Factors'!H81</f>
        <v>2.23E-2</v>
      </c>
      <c r="AA81" s="25">
        <f>'Risk Factors'!T81</f>
        <v>-7.3999999999999995E-3</v>
      </c>
      <c r="AB81" s="25">
        <f>'Risk Factors'!U81</f>
        <v>2.0140000000000002E-2</v>
      </c>
      <c r="AC81" s="25">
        <f>BMG!F81</f>
        <v>-8.267E-3</v>
      </c>
      <c r="AE81" s="6"/>
      <c r="AG81" s="6"/>
      <c r="AI81" s="6"/>
      <c r="AK81" s="6"/>
      <c r="AM81" s="6"/>
      <c r="AO81" s="6"/>
      <c r="AQ81" s="6"/>
      <c r="AS81" s="6"/>
      <c r="AU81" s="6"/>
      <c r="AW81" s="6"/>
      <c r="AY81" s="6"/>
      <c r="BA81" s="6"/>
      <c r="BC81" s="6"/>
      <c r="BE81" s="6"/>
      <c r="BG81" s="6"/>
      <c r="BI81" s="6"/>
      <c r="BK81" s="6"/>
      <c r="BM81" s="6"/>
      <c r="BO81" s="6"/>
      <c r="BQ81" s="6"/>
      <c r="BS81" s="6"/>
      <c r="BU81" s="6"/>
      <c r="BW81" s="6"/>
      <c r="BY81" s="6"/>
      <c r="CA81" s="6"/>
      <c r="CC81" s="6"/>
      <c r="CE81" s="6"/>
      <c r="CG81" s="6"/>
      <c r="CI81" s="6"/>
      <c r="CK81" s="6"/>
      <c r="CM81" s="6"/>
      <c r="CO81" s="6"/>
      <c r="CQ81" s="6"/>
      <c r="CS81" s="6"/>
      <c r="CU81" s="6"/>
      <c r="CW81" s="6"/>
      <c r="CY81" s="6"/>
      <c r="DA81" s="6"/>
      <c r="DC81" s="6"/>
      <c r="DE81" s="6"/>
      <c r="DG81" s="6"/>
      <c r="DI81" s="6"/>
      <c r="DK81" s="6"/>
      <c r="DM81" s="6"/>
      <c r="DO81" s="6"/>
      <c r="DQ81" s="6"/>
      <c r="DS81" s="6"/>
      <c r="DU81" s="6"/>
      <c r="DW81" s="6"/>
      <c r="DY81" s="6"/>
      <c r="EA81" s="6"/>
      <c r="EC81" s="6"/>
      <c r="EE81" s="6"/>
      <c r="EG81" s="6"/>
      <c r="EI81" s="6"/>
      <c r="EK81" s="6"/>
      <c r="EM81" s="6"/>
      <c r="EO81" s="6"/>
      <c r="EQ81" s="6"/>
      <c r="ES81" s="6"/>
      <c r="EU81" s="6"/>
      <c r="EW81" s="6"/>
      <c r="EY81" s="6"/>
      <c r="FA81" s="6"/>
      <c r="FC81" s="6"/>
      <c r="FE81" s="6"/>
      <c r="FG81" s="6"/>
      <c r="FI81" s="6"/>
      <c r="FK81" s="6"/>
      <c r="FM81" s="6"/>
      <c r="FO81" s="6"/>
      <c r="FQ81" s="6"/>
      <c r="FS81" s="6"/>
      <c r="FU81" s="6"/>
      <c r="FW81" s="6"/>
      <c r="FY81" s="6"/>
      <c r="GA81" s="6"/>
      <c r="GC81" s="6"/>
      <c r="GE81" s="6"/>
    </row>
    <row r="82" spans="5:187">
      <c r="E82" s="421">
        <v>42643</v>
      </c>
      <c r="F82" s="25">
        <f>'Risk Factors'!F82</f>
        <v>8.8999999999999999E-3</v>
      </c>
      <c r="G82" s="25">
        <f>'Risk Factors'!G82</f>
        <v>2.2499999999999999E-2</v>
      </c>
      <c r="H82" s="25">
        <f>'Risk Factors'!H82</f>
        <v>-1.26E-2</v>
      </c>
      <c r="I82" s="25">
        <f>'Risk Factors'!I82</f>
        <v>1.67E-2</v>
      </c>
      <c r="J82" s="25">
        <f>BMG!F82</f>
        <v>8.4940999999999992E-3</v>
      </c>
      <c r="K82" s="25">
        <f>'Risk Factors'!J82</f>
        <v>2.0000000000000001E-4</v>
      </c>
      <c r="L82" s="102"/>
      <c r="M82" s="421">
        <v>42643</v>
      </c>
      <c r="N82" s="25">
        <f>'Risk Factors'!F82</f>
        <v>8.8999999999999999E-3</v>
      </c>
      <c r="O82" s="25">
        <f>'Risk Factors'!M82</f>
        <v>3.63E-3</v>
      </c>
      <c r="P82" s="25">
        <f>'Risk Factors'!N82</f>
        <v>3.8500000000000001E-3</v>
      </c>
      <c r="Q82" s="25">
        <f>'Risk Factors'!O82</f>
        <v>3.8999999999999998E-3</v>
      </c>
      <c r="R82" s="25">
        <f>'Risk Factors'!P82</f>
        <v>2.5999999999999998E-4</v>
      </c>
      <c r="S82" s="25">
        <f>'Risk Factors'!R82</f>
        <v>6.4999999999999997E-3</v>
      </c>
      <c r="T82" s="25">
        <f>'Risk Factors'!S82</f>
        <v>9.5600000000000008E-3</v>
      </c>
      <c r="U82" s="25">
        <f>BMG!F82</f>
        <v>8.4940999999999992E-3</v>
      </c>
      <c r="V82" s="25"/>
      <c r="W82" s="421">
        <v>42643</v>
      </c>
      <c r="X82" s="25">
        <f>'Risk Factors'!F82</f>
        <v>8.8999999999999999E-3</v>
      </c>
      <c r="Y82" s="25">
        <f>'Risk Factors'!G82</f>
        <v>2.2499999999999999E-2</v>
      </c>
      <c r="Z82" s="25">
        <f>'Risk Factors'!H82</f>
        <v>-1.26E-2</v>
      </c>
      <c r="AA82" s="25">
        <f>'Risk Factors'!T82</f>
        <v>9.3600000000000003E-3</v>
      </c>
      <c r="AB82" s="25">
        <f>'Risk Factors'!U82</f>
        <v>2.6499999999999996E-3</v>
      </c>
      <c r="AC82" s="25">
        <f>BMG!F82</f>
        <v>8.4940999999999992E-3</v>
      </c>
      <c r="AE82" s="6"/>
      <c r="AG82" s="6"/>
      <c r="AI82" s="6"/>
      <c r="AK82" s="6"/>
      <c r="AM82" s="6"/>
      <c r="AO82" s="6"/>
      <c r="AQ82" s="6"/>
      <c r="AS82" s="6"/>
      <c r="AU82" s="6"/>
      <c r="AW82" s="6"/>
      <c r="AY82" s="6"/>
      <c r="BA82" s="6"/>
      <c r="BC82" s="6"/>
      <c r="BE82" s="6"/>
      <c r="BG82" s="6"/>
      <c r="BI82" s="6"/>
      <c r="BK82" s="6"/>
      <c r="BM82" s="6"/>
      <c r="BO82" s="6"/>
      <c r="BQ82" s="6"/>
      <c r="BS82" s="6"/>
      <c r="BU82" s="6"/>
      <c r="BW82" s="6"/>
      <c r="BY82" s="6"/>
      <c r="CA82" s="6"/>
      <c r="CC82" s="6"/>
      <c r="CE82" s="6"/>
      <c r="CG82" s="6"/>
      <c r="CI82" s="6"/>
      <c r="CK82" s="6"/>
      <c r="CM82" s="6"/>
      <c r="CO82" s="6"/>
      <c r="CQ82" s="6"/>
      <c r="CS82" s="6"/>
      <c r="CU82" s="6"/>
      <c r="CW82" s="6"/>
      <c r="CY82" s="6"/>
      <c r="DA82" s="6"/>
      <c r="DC82" s="6"/>
      <c r="DE82" s="6"/>
      <c r="DG82" s="6"/>
      <c r="DI82" s="6"/>
      <c r="DK82" s="6"/>
      <c r="DM82" s="6"/>
      <c r="DO82" s="6"/>
      <c r="DQ82" s="6"/>
      <c r="DS82" s="6"/>
      <c r="DU82" s="6"/>
      <c r="DW82" s="6"/>
      <c r="DY82" s="6"/>
      <c r="EA82" s="6"/>
      <c r="EC82" s="6"/>
      <c r="EE82" s="6"/>
      <c r="EG82" s="6"/>
      <c r="EI82" s="6"/>
      <c r="EK82" s="6"/>
      <c r="EM82" s="6"/>
      <c r="EO82" s="6"/>
      <c r="EQ82" s="6"/>
      <c r="ES82" s="6"/>
      <c r="EU82" s="6"/>
      <c r="EW82" s="6"/>
      <c r="EY82" s="6"/>
      <c r="FA82" s="6"/>
      <c r="FC82" s="6"/>
      <c r="FE82" s="6"/>
      <c r="FG82" s="6"/>
      <c r="FI82" s="6"/>
      <c r="FK82" s="6"/>
      <c r="FM82" s="6"/>
      <c r="FO82" s="6"/>
      <c r="FQ82" s="6"/>
      <c r="FS82" s="6"/>
      <c r="FU82" s="6"/>
      <c r="FW82" s="6"/>
      <c r="FY82" s="6"/>
      <c r="GA82" s="6"/>
      <c r="GC82" s="6"/>
      <c r="GE82" s="6"/>
    </row>
    <row r="83" spans="5:187">
      <c r="E83" s="421">
        <v>42674</v>
      </c>
      <c r="F83" s="25">
        <f>'Risk Factors'!F83</f>
        <v>-1.8800000000000001E-2</v>
      </c>
      <c r="G83" s="25">
        <f>'Risk Factors'!G83</f>
        <v>-1.5900000000000001E-2</v>
      </c>
      <c r="H83" s="25">
        <f>'Risk Factors'!H83</f>
        <v>4.2599999999999999E-2</v>
      </c>
      <c r="I83" s="25">
        <f>'Risk Factors'!I83</f>
        <v>-1.12E-2</v>
      </c>
      <c r="J83" s="25">
        <f>BMG!F83</f>
        <v>8.4954999999999996E-3</v>
      </c>
      <c r="K83" s="25">
        <f>'Risk Factors'!J83</f>
        <v>2.0000000000000001E-4</v>
      </c>
      <c r="L83" s="102"/>
      <c r="M83" s="421">
        <v>42674</v>
      </c>
      <c r="N83" s="25">
        <f>'Risk Factors'!F83</f>
        <v>-1.8800000000000001E-2</v>
      </c>
      <c r="O83" s="25">
        <f>'Risk Factors'!M83</f>
        <v>-9.1699999999999993E-3</v>
      </c>
      <c r="P83" s="25">
        <f>'Risk Factors'!N83</f>
        <v>-1.2619999999999999E-2</v>
      </c>
      <c r="Q83" s="25">
        <f>'Risk Factors'!O83</f>
        <v>-1.8110000000000001E-2</v>
      </c>
      <c r="R83" s="25">
        <f>'Risk Factors'!P83</f>
        <v>-1.9449999999999999E-2</v>
      </c>
      <c r="S83" s="25">
        <f>'Risk Factors'!R83</f>
        <v>-1.8400000000000001E-3</v>
      </c>
      <c r="T83" s="25">
        <f>'Risk Factors'!S83</f>
        <v>-2.4889999999999999E-2</v>
      </c>
      <c r="U83" s="25">
        <f>BMG!F83</f>
        <v>8.4954999999999996E-3</v>
      </c>
      <c r="V83" s="25"/>
      <c r="W83" s="421">
        <v>42674</v>
      </c>
      <c r="X83" s="25">
        <f>'Risk Factors'!F83</f>
        <v>-1.8800000000000001E-2</v>
      </c>
      <c r="Y83" s="25">
        <f>'Risk Factors'!G83</f>
        <v>-1.5900000000000001E-2</v>
      </c>
      <c r="Z83" s="25">
        <f>'Risk Factors'!H83</f>
        <v>4.2599999999999999E-2</v>
      </c>
      <c r="AA83" s="25">
        <f>'Risk Factors'!T83</f>
        <v>-2.5089999999999998E-2</v>
      </c>
      <c r="AB83" s="25">
        <f>'Risk Factors'!U83</f>
        <v>1.078E-2</v>
      </c>
      <c r="AC83" s="25">
        <f>BMG!F83</f>
        <v>8.4954999999999996E-3</v>
      </c>
      <c r="AE83" s="6"/>
      <c r="AG83" s="6"/>
      <c r="AI83" s="6"/>
      <c r="AK83" s="6"/>
      <c r="AM83" s="6"/>
      <c r="AO83" s="6"/>
      <c r="AQ83" s="6"/>
      <c r="AS83" s="6"/>
      <c r="AU83" s="6"/>
      <c r="AW83" s="6"/>
      <c r="AY83" s="6"/>
      <c r="BA83" s="6"/>
      <c r="BC83" s="6"/>
      <c r="BE83" s="6"/>
      <c r="BG83" s="6"/>
      <c r="BI83" s="6"/>
      <c r="BK83" s="6"/>
      <c r="BM83" s="6"/>
      <c r="BO83" s="6"/>
      <c r="BQ83" s="6"/>
      <c r="BS83" s="6"/>
      <c r="BU83" s="6"/>
      <c r="BW83" s="6"/>
      <c r="BY83" s="6"/>
      <c r="CA83" s="6"/>
      <c r="CC83" s="6"/>
      <c r="CE83" s="6"/>
      <c r="CG83" s="6"/>
      <c r="CI83" s="6"/>
      <c r="CK83" s="6"/>
      <c r="CM83" s="6"/>
      <c r="CO83" s="6"/>
      <c r="CQ83" s="6"/>
      <c r="CS83" s="6"/>
      <c r="CU83" s="6"/>
      <c r="CW83" s="6"/>
      <c r="CY83" s="6"/>
      <c r="DA83" s="6"/>
      <c r="DC83" s="6"/>
      <c r="DE83" s="6"/>
      <c r="DG83" s="6"/>
      <c r="DI83" s="6"/>
      <c r="DK83" s="6"/>
      <c r="DM83" s="6"/>
      <c r="DO83" s="6"/>
      <c r="DQ83" s="6"/>
      <c r="DS83" s="6"/>
      <c r="DU83" s="6"/>
      <c r="DW83" s="6"/>
      <c r="DY83" s="6"/>
      <c r="EA83" s="6"/>
      <c r="EC83" s="6"/>
      <c r="EE83" s="6"/>
      <c r="EG83" s="6"/>
      <c r="EI83" s="6"/>
      <c r="EK83" s="6"/>
      <c r="EM83" s="6"/>
      <c r="EO83" s="6"/>
      <c r="EQ83" s="6"/>
      <c r="ES83" s="6"/>
      <c r="EU83" s="6"/>
      <c r="EW83" s="6"/>
      <c r="EY83" s="6"/>
      <c r="FA83" s="6"/>
      <c r="FC83" s="6"/>
      <c r="FE83" s="6"/>
      <c r="FG83" s="6"/>
      <c r="FI83" s="6"/>
      <c r="FK83" s="6"/>
      <c r="FM83" s="6"/>
      <c r="FO83" s="6"/>
      <c r="FQ83" s="6"/>
      <c r="FS83" s="6"/>
      <c r="FU83" s="6"/>
      <c r="FW83" s="6"/>
      <c r="FY83" s="6"/>
      <c r="GA83" s="6"/>
      <c r="GC83" s="6"/>
      <c r="GE83" s="6"/>
    </row>
    <row r="84" spans="5:187">
      <c r="E84" s="421">
        <v>42704</v>
      </c>
      <c r="F84" s="25">
        <f>'Risk Factors'!F84</f>
        <v>1.4E-2</v>
      </c>
      <c r="G84" s="25">
        <f>'Risk Factors'!G84</f>
        <v>3.0000000000000001E-3</v>
      </c>
      <c r="H84" s="25">
        <f>'Risk Factors'!H84</f>
        <v>4.3200000000000002E-2</v>
      </c>
      <c r="I84" s="25">
        <f>'Risk Factors'!I84</f>
        <v>-4.3900000000000002E-2</v>
      </c>
      <c r="J84" s="25">
        <f>BMG!F84</f>
        <v>2.9017399999999999E-2</v>
      </c>
      <c r="K84" s="25">
        <f>'Risk Factors'!J84</f>
        <v>1E-4</v>
      </c>
      <c r="L84" s="102"/>
      <c r="M84" s="421">
        <v>42704</v>
      </c>
      <c r="N84" s="25">
        <f>'Risk Factors'!F84</f>
        <v>1.4E-2</v>
      </c>
      <c r="O84" s="25">
        <f>'Risk Factors'!M84</f>
        <v>-1.272E-2</v>
      </c>
      <c r="P84" s="25">
        <f>'Risk Factors'!N84</f>
        <v>-2.145E-2</v>
      </c>
      <c r="Q84" s="25">
        <f>'Risk Factors'!O84</f>
        <v>-2.9000000000000001E-2</v>
      </c>
      <c r="R84" s="25">
        <f>'Risk Factors'!P84</f>
        <v>-3.7139999999999999E-2</v>
      </c>
      <c r="S84" s="25">
        <f>'Risk Factors'!R84</f>
        <v>-1.072E-2</v>
      </c>
      <c r="T84" s="25">
        <f>'Risk Factors'!S84</f>
        <v>-3.8030000000000001E-2</v>
      </c>
      <c r="U84" s="25">
        <f>BMG!F84</f>
        <v>2.9017399999999999E-2</v>
      </c>
      <c r="V84" s="25"/>
      <c r="W84" s="421">
        <v>42704</v>
      </c>
      <c r="X84" s="25">
        <f>'Risk Factors'!F84</f>
        <v>1.4E-2</v>
      </c>
      <c r="Y84" s="25">
        <f>'Risk Factors'!G84</f>
        <v>3.0000000000000001E-3</v>
      </c>
      <c r="Z84" s="25">
        <f>'Risk Factors'!H84</f>
        <v>4.3200000000000002E-2</v>
      </c>
      <c r="AA84" s="25">
        <f>'Risk Factors'!T84</f>
        <v>-3.8130000000000004E-2</v>
      </c>
      <c r="AB84" s="25">
        <f>'Risk Factors'!U84</f>
        <v>1.073E-2</v>
      </c>
      <c r="AC84" s="25">
        <f>BMG!F84</f>
        <v>2.9017399999999999E-2</v>
      </c>
      <c r="AE84" s="6"/>
      <c r="AG84" s="6"/>
      <c r="AI84" s="6"/>
      <c r="AK84" s="6"/>
      <c r="AM84" s="6"/>
      <c r="AO84" s="6"/>
      <c r="AQ84" s="6"/>
      <c r="AS84" s="6"/>
      <c r="AU84" s="6"/>
      <c r="AW84" s="6"/>
      <c r="AY84" s="6"/>
      <c r="BA84" s="6"/>
      <c r="BC84" s="6"/>
      <c r="BE84" s="6"/>
      <c r="BG84" s="6"/>
      <c r="BI84" s="6"/>
      <c r="BK84" s="6"/>
      <c r="BM84" s="6"/>
      <c r="BO84" s="6"/>
      <c r="BQ84" s="6"/>
      <c r="BS84" s="6"/>
      <c r="BU84" s="6"/>
      <c r="BW84" s="6"/>
      <c r="BY84" s="6"/>
      <c r="CA84" s="6"/>
      <c r="CC84" s="6"/>
      <c r="CE84" s="6"/>
      <c r="CG84" s="6"/>
      <c r="CI84" s="6"/>
      <c r="CK84" s="6"/>
      <c r="CM84" s="6"/>
      <c r="CO84" s="6"/>
      <c r="CQ84" s="6"/>
      <c r="CS84" s="6"/>
      <c r="CU84" s="6"/>
      <c r="CW84" s="6"/>
      <c r="CY84" s="6"/>
      <c r="DA84" s="6"/>
      <c r="DC84" s="6"/>
      <c r="DE84" s="6"/>
      <c r="DG84" s="6"/>
      <c r="DI84" s="6"/>
      <c r="DK84" s="6"/>
      <c r="DM84" s="6"/>
      <c r="DO84" s="6"/>
      <c r="DQ84" s="6"/>
      <c r="DS84" s="6"/>
      <c r="DU84" s="6"/>
      <c r="DW84" s="6"/>
      <c r="DY84" s="6"/>
      <c r="EA84" s="6"/>
      <c r="EC84" s="6"/>
      <c r="EE84" s="6"/>
      <c r="EG84" s="6"/>
      <c r="EI84" s="6"/>
      <c r="EK84" s="6"/>
      <c r="EM84" s="6"/>
      <c r="EO84" s="6"/>
      <c r="EQ84" s="6"/>
      <c r="ES84" s="6"/>
      <c r="EU84" s="6"/>
      <c r="EW84" s="6"/>
      <c r="EY84" s="6"/>
      <c r="FA84" s="6"/>
      <c r="FC84" s="6"/>
      <c r="FE84" s="6"/>
      <c r="FG84" s="6"/>
      <c r="FI84" s="6"/>
      <c r="FK84" s="6"/>
      <c r="FM84" s="6"/>
      <c r="FO84" s="6"/>
      <c r="FQ84" s="6"/>
      <c r="FS84" s="6"/>
      <c r="FU84" s="6"/>
      <c r="FW84" s="6"/>
      <c r="FY84" s="6"/>
      <c r="GA84" s="6"/>
      <c r="GC84" s="6"/>
      <c r="GE84" s="6"/>
    </row>
    <row r="85" spans="5:187">
      <c r="E85" s="421">
        <v>42735</v>
      </c>
      <c r="F85" s="25">
        <f>'Risk Factors'!F85</f>
        <v>2.2700000000000001E-2</v>
      </c>
      <c r="G85" s="25">
        <f>'Risk Factors'!G85</f>
        <v>-4.4999999999999997E-3</v>
      </c>
      <c r="H85" s="25">
        <f>'Risk Factors'!H85</f>
        <v>2.7400000000000001E-2</v>
      </c>
      <c r="I85" s="25">
        <f>'Risk Factors'!I85</f>
        <v>-1.4999999999999999E-2</v>
      </c>
      <c r="J85" s="25">
        <f>BMG!F85</f>
        <v>-8.5018000000000003E-3</v>
      </c>
      <c r="K85" s="25">
        <f>'Risk Factors'!J85</f>
        <v>2.9999999999999997E-4</v>
      </c>
      <c r="L85" s="102"/>
      <c r="M85" s="421">
        <v>42735</v>
      </c>
      <c r="N85" s="25">
        <f>'Risk Factors'!F85</f>
        <v>2.2700000000000001E-2</v>
      </c>
      <c r="O85" s="25">
        <f>'Risk Factors'!M85</f>
        <v>-1.1800000000000001E-3</v>
      </c>
      <c r="P85" s="25">
        <f>'Risk Factors'!N85</f>
        <v>2.4000000000000001E-4</v>
      </c>
      <c r="Q85" s="25">
        <f>'Risk Factors'!O85</f>
        <v>2.0200000000000001E-3</v>
      </c>
      <c r="R85" s="25">
        <f>'Risk Factors'!P85</f>
        <v>4.2700000000000004E-3</v>
      </c>
      <c r="S85" s="25">
        <f>'Risk Factors'!R85</f>
        <v>1.7340000000000001E-2</v>
      </c>
      <c r="T85" s="25">
        <f>'Risk Factors'!S85</f>
        <v>-6.2700000000000004E-3</v>
      </c>
      <c r="U85" s="25">
        <f>BMG!F85</f>
        <v>-8.5018000000000003E-3</v>
      </c>
      <c r="V85" s="25"/>
      <c r="W85" s="421">
        <v>42735</v>
      </c>
      <c r="X85" s="25">
        <f>'Risk Factors'!F85</f>
        <v>2.2700000000000001E-2</v>
      </c>
      <c r="Y85" s="25">
        <f>'Risk Factors'!G85</f>
        <v>-4.4999999999999997E-3</v>
      </c>
      <c r="Z85" s="25">
        <f>'Risk Factors'!H85</f>
        <v>2.7400000000000001E-2</v>
      </c>
      <c r="AA85" s="25">
        <f>'Risk Factors'!T85</f>
        <v>-6.5700000000000003E-3</v>
      </c>
      <c r="AB85" s="25">
        <f>'Risk Factors'!U85</f>
        <v>1.7100000000000001E-2</v>
      </c>
      <c r="AC85" s="25">
        <f>BMG!F85</f>
        <v>-8.5018000000000003E-3</v>
      </c>
      <c r="AE85" s="6"/>
      <c r="AG85" s="6"/>
      <c r="AI85" s="6"/>
      <c r="AK85" s="6"/>
      <c r="AM85" s="6"/>
      <c r="AO85" s="6"/>
      <c r="AQ85" s="6"/>
      <c r="AS85" s="6"/>
      <c r="AU85" s="6"/>
      <c r="AW85" s="6"/>
      <c r="AY85" s="6"/>
      <c r="BA85" s="6"/>
      <c r="BC85" s="6"/>
      <c r="BE85" s="6"/>
      <c r="BG85" s="6"/>
      <c r="BI85" s="6"/>
      <c r="BK85" s="6"/>
      <c r="BM85" s="6"/>
      <c r="BO85" s="6"/>
      <c r="BQ85" s="6"/>
      <c r="BS85" s="6"/>
      <c r="BU85" s="6"/>
      <c r="BW85" s="6"/>
      <c r="BY85" s="6"/>
      <c r="CA85" s="6"/>
      <c r="CC85" s="6"/>
      <c r="CE85" s="6"/>
      <c r="CG85" s="6"/>
      <c r="CI85" s="6"/>
      <c r="CK85" s="6"/>
      <c r="CM85" s="6"/>
      <c r="CO85" s="6"/>
      <c r="CQ85" s="6"/>
      <c r="CS85" s="6"/>
      <c r="CU85" s="6"/>
      <c r="CW85" s="6"/>
      <c r="CY85" s="6"/>
      <c r="DA85" s="6"/>
      <c r="DC85" s="6"/>
      <c r="DE85" s="6"/>
      <c r="DG85" s="6"/>
      <c r="DI85" s="6"/>
      <c r="DK85" s="6"/>
      <c r="DM85" s="6"/>
      <c r="DO85" s="6"/>
      <c r="DQ85" s="6"/>
      <c r="DS85" s="6"/>
      <c r="DU85" s="6"/>
      <c r="DW85" s="6"/>
      <c r="DY85" s="6"/>
      <c r="EA85" s="6"/>
      <c r="EC85" s="6"/>
      <c r="EE85" s="6"/>
      <c r="EG85" s="6"/>
      <c r="EI85" s="6"/>
      <c r="EK85" s="6"/>
      <c r="EM85" s="6"/>
      <c r="EO85" s="6"/>
      <c r="EQ85" s="6"/>
      <c r="ES85" s="6"/>
      <c r="EU85" s="6"/>
      <c r="EW85" s="6"/>
      <c r="EY85" s="6"/>
      <c r="FA85" s="6"/>
      <c r="FC85" s="6"/>
      <c r="FE85" s="6"/>
      <c r="FG85" s="6"/>
      <c r="FI85" s="6"/>
      <c r="FK85" s="6"/>
      <c r="FM85" s="6"/>
      <c r="FO85" s="6"/>
      <c r="FQ85" s="6"/>
      <c r="FS85" s="6"/>
      <c r="FU85" s="6"/>
      <c r="FW85" s="6"/>
      <c r="FY85" s="6"/>
      <c r="GA85" s="6"/>
      <c r="GC85" s="6"/>
      <c r="GE85" s="6"/>
    </row>
    <row r="86" spans="5:187">
      <c r="E86" s="421">
        <v>42766</v>
      </c>
      <c r="F86" s="25">
        <f>'Risk Factors'!F86</f>
        <v>2.7199999999999998E-2</v>
      </c>
      <c r="G86" s="25">
        <f>'Risk Factors'!G86</f>
        <v>4.5999999999999999E-3</v>
      </c>
      <c r="H86" s="25">
        <f>'Risk Factors'!H86</f>
        <v>-5.7000000000000002E-3</v>
      </c>
      <c r="I86" s="25">
        <f>'Risk Factors'!I86</f>
        <v>1.67E-2</v>
      </c>
      <c r="J86" s="25">
        <f>BMG!F86</f>
        <v>4.2214500000000002E-2</v>
      </c>
      <c r="K86" s="25">
        <f>'Risk Factors'!J86</f>
        <v>4.0000000000000002E-4</v>
      </c>
      <c r="M86" s="421">
        <v>42766</v>
      </c>
      <c r="N86" s="25">
        <f>'Risk Factors'!F86</f>
        <v>2.7199999999999998E-2</v>
      </c>
      <c r="O86" s="25">
        <f>'Risk Factors'!M86</f>
        <v>1.124E-2</v>
      </c>
      <c r="P86" s="25">
        <f>'Risk Factors'!N86</f>
        <v>1.238E-2</v>
      </c>
      <c r="Q86" s="25">
        <f>'Risk Factors'!O86</f>
        <v>1.235E-2</v>
      </c>
      <c r="R86" s="25">
        <f>'Risk Factors'!P86</f>
        <v>7.45E-3</v>
      </c>
      <c r="S86" s="25">
        <f>'Risk Factors'!R86</f>
        <v>1.848E-2</v>
      </c>
      <c r="T86" s="25">
        <f>'Risk Factors'!S86</f>
        <v>1.4670000000000001E-2</v>
      </c>
      <c r="U86" s="25">
        <f>BMG!F86</f>
        <v>4.2214500000000002E-2</v>
      </c>
      <c r="V86" s="25"/>
      <c r="W86" s="421">
        <v>42766</v>
      </c>
      <c r="X86" s="25">
        <f>'Risk Factors'!F86</f>
        <v>2.7199999999999998E-2</v>
      </c>
      <c r="Y86" s="25">
        <f>'Risk Factors'!G86</f>
        <v>4.5999999999999999E-3</v>
      </c>
      <c r="Z86" s="25">
        <f>'Risk Factors'!H86</f>
        <v>-5.7000000000000002E-3</v>
      </c>
      <c r="AA86" s="25">
        <f>'Risk Factors'!T86</f>
        <v>1.4270000000000001E-2</v>
      </c>
      <c r="AB86" s="25">
        <f>'Risk Factors'!U86</f>
        <v>6.0999999999999995E-3</v>
      </c>
      <c r="AC86" s="25">
        <f>BMG!F86</f>
        <v>4.2214500000000002E-2</v>
      </c>
      <c r="AE86" s="6"/>
      <c r="AG86" s="6"/>
      <c r="AI86" s="6"/>
      <c r="AK86" s="6"/>
      <c r="AM86" s="6"/>
      <c r="AO86" s="6"/>
      <c r="AQ86" s="6"/>
      <c r="AS86" s="6"/>
      <c r="AU86" s="6"/>
      <c r="AW86" s="6"/>
      <c r="AY86" s="6"/>
      <c r="BA86" s="6"/>
      <c r="BC86" s="6"/>
      <c r="BE86" s="6"/>
      <c r="BG86" s="6"/>
      <c r="BI86" s="6"/>
      <c r="BK86" s="6"/>
      <c r="BM86" s="6"/>
      <c r="BO86" s="6"/>
      <c r="BQ86" s="6"/>
      <c r="BS86" s="6"/>
      <c r="BU86" s="6"/>
      <c r="BW86" s="6"/>
      <c r="BY86" s="6"/>
      <c r="CA86" s="6"/>
      <c r="CC86" s="6"/>
      <c r="CE86" s="6"/>
      <c r="CG86" s="6"/>
      <c r="CI86" s="6"/>
      <c r="CK86" s="6"/>
      <c r="CM86" s="6"/>
      <c r="CO86" s="6"/>
      <c r="CQ86" s="6"/>
      <c r="CS86" s="6"/>
      <c r="CU86" s="6"/>
      <c r="CW86" s="6"/>
      <c r="CY86" s="6"/>
      <c r="DA86" s="6"/>
      <c r="DC86" s="6"/>
      <c r="DE86" s="6"/>
      <c r="DG86" s="6"/>
      <c r="DI86" s="6"/>
      <c r="DK86" s="6"/>
      <c r="DM86" s="6"/>
      <c r="DO86" s="6"/>
      <c r="DQ86" s="6"/>
      <c r="DS86" s="6"/>
      <c r="DU86" s="6"/>
      <c r="DW86" s="6"/>
      <c r="DY86" s="6"/>
      <c r="EA86" s="6"/>
      <c r="EC86" s="6"/>
      <c r="EE86" s="6"/>
      <c r="EG86" s="6"/>
      <c r="EI86" s="6"/>
      <c r="EK86" s="6"/>
      <c r="EM86" s="6"/>
      <c r="EO86" s="6"/>
      <c r="EQ86" s="6"/>
      <c r="ES86" s="6"/>
      <c r="EU86" s="6"/>
      <c r="EW86" s="6"/>
      <c r="EY86" s="6"/>
      <c r="FA86" s="6"/>
      <c r="FC86" s="6"/>
      <c r="FE86" s="6"/>
      <c r="FG86" s="6"/>
      <c r="FI86" s="6"/>
      <c r="FK86" s="6"/>
      <c r="FM86" s="6"/>
      <c r="FO86" s="6"/>
      <c r="FQ86" s="6"/>
      <c r="FS86" s="6"/>
      <c r="FU86" s="6"/>
      <c r="FW86" s="6"/>
      <c r="FY86" s="6"/>
      <c r="GA86" s="6"/>
      <c r="GC86" s="6"/>
      <c r="GE86" s="6"/>
    </row>
    <row r="87" spans="5:187">
      <c r="E87" s="421">
        <v>42794</v>
      </c>
      <c r="F87" s="25">
        <f>'Risk Factors'!F87</f>
        <v>2.2800000000000001E-2</v>
      </c>
      <c r="G87" s="25">
        <f>'Risk Factors'!G87</f>
        <v>-6.1999999999999998E-3</v>
      </c>
      <c r="H87" s="25">
        <f>'Risk Factors'!H87</f>
        <v>-1.7399999999999999E-2</v>
      </c>
      <c r="I87" s="25">
        <f>'Risk Factors'!I87</f>
        <v>-1.8599999999999998E-2</v>
      </c>
      <c r="J87" s="25">
        <f>BMG!F87</f>
        <v>-1.34343E-2</v>
      </c>
      <c r="K87" s="25">
        <f>'Risk Factors'!J87</f>
        <v>4.0000000000000002E-4</v>
      </c>
      <c r="M87" s="421">
        <v>42794</v>
      </c>
      <c r="N87" s="25">
        <f>'Risk Factors'!F87</f>
        <v>2.2800000000000001E-2</v>
      </c>
      <c r="O87" s="25">
        <f>'Risk Factors'!M87</f>
        <v>-8.8000000000000003E-4</v>
      </c>
      <c r="P87" s="25">
        <f>'Risk Factors'!N87</f>
        <v>1.7899999999999999E-3</v>
      </c>
      <c r="Q87" s="25">
        <f>'Risk Factors'!O87</f>
        <v>4.4999999999999997E-3</v>
      </c>
      <c r="R87" s="25">
        <f>'Risk Factors'!P87</f>
        <v>1.034E-2</v>
      </c>
      <c r="S87" s="25">
        <f>'Risk Factors'!R87</f>
        <v>1.191E-2</v>
      </c>
      <c r="T87" s="25">
        <f>'Risk Factors'!S87</f>
        <v>5.9999999999999995E-4</v>
      </c>
      <c r="U87" s="25">
        <f>BMG!F87</f>
        <v>-1.34343E-2</v>
      </c>
      <c r="V87" s="25"/>
      <c r="W87" s="421">
        <v>42794</v>
      </c>
      <c r="X87" s="25">
        <f>'Risk Factors'!F87</f>
        <v>2.2800000000000001E-2</v>
      </c>
      <c r="Y87" s="25">
        <f>'Risk Factors'!G87</f>
        <v>-6.1999999999999998E-3</v>
      </c>
      <c r="Z87" s="25">
        <f>'Risk Factors'!H87</f>
        <v>-1.7399999999999999E-2</v>
      </c>
      <c r="AA87" s="25">
        <f>'Risk Factors'!T87</f>
        <v>1.9999999999999993E-4</v>
      </c>
      <c r="AB87" s="25">
        <f>'Risk Factors'!U87</f>
        <v>1.0120000000000001E-2</v>
      </c>
      <c r="AC87" s="25">
        <f>BMG!F87</f>
        <v>-1.34343E-2</v>
      </c>
      <c r="AE87" s="6"/>
      <c r="AG87" s="6"/>
      <c r="AI87" s="6"/>
      <c r="AK87" s="6"/>
      <c r="AM87" s="6"/>
      <c r="AO87" s="6"/>
      <c r="AQ87" s="6"/>
      <c r="AS87" s="6"/>
      <c r="AU87" s="6"/>
      <c r="AW87" s="6"/>
      <c r="AY87" s="6"/>
      <c r="BA87" s="6"/>
      <c r="BC87" s="6"/>
      <c r="BE87" s="6"/>
      <c r="BG87" s="6"/>
      <c r="BI87" s="6"/>
      <c r="BK87" s="6"/>
      <c r="BM87" s="6"/>
      <c r="BO87" s="6"/>
      <c r="BQ87" s="6"/>
      <c r="BS87" s="6"/>
      <c r="BU87" s="6"/>
      <c r="BW87" s="6"/>
      <c r="BY87" s="6"/>
      <c r="CA87" s="6"/>
      <c r="CC87" s="6"/>
      <c r="CE87" s="6"/>
      <c r="CG87" s="6"/>
      <c r="CI87" s="6"/>
      <c r="CK87" s="6"/>
      <c r="CM87" s="6"/>
      <c r="CO87" s="6"/>
      <c r="CQ87" s="6"/>
      <c r="CS87" s="6"/>
      <c r="CU87" s="6"/>
      <c r="CW87" s="6"/>
      <c r="CY87" s="6"/>
      <c r="DA87" s="6"/>
      <c r="DC87" s="6"/>
      <c r="DE87" s="6"/>
      <c r="DG87" s="6"/>
      <c r="DI87" s="6"/>
      <c r="DK87" s="6"/>
      <c r="DM87" s="6"/>
      <c r="DO87" s="6"/>
      <c r="DQ87" s="6"/>
      <c r="DS87" s="6"/>
      <c r="DU87" s="6"/>
      <c r="DW87" s="6"/>
      <c r="DY87" s="6"/>
      <c r="EA87" s="6"/>
      <c r="EC87" s="6"/>
      <c r="EE87" s="6"/>
      <c r="EG87" s="6"/>
      <c r="EI87" s="6"/>
      <c r="EK87" s="6"/>
      <c r="EM87" s="6"/>
      <c r="EO87" s="6"/>
      <c r="EQ87" s="6"/>
      <c r="ES87" s="6"/>
      <c r="EU87" s="6"/>
      <c r="EW87" s="6"/>
      <c r="EY87" s="6"/>
      <c r="FA87" s="6"/>
      <c r="FC87" s="6"/>
      <c r="FE87" s="6"/>
      <c r="FG87" s="6"/>
      <c r="FI87" s="6"/>
      <c r="FK87" s="6"/>
      <c r="FM87" s="6"/>
      <c r="FO87" s="6"/>
      <c r="FQ87" s="6"/>
      <c r="FS87" s="6"/>
      <c r="FU87" s="6"/>
      <c r="FW87" s="6"/>
      <c r="FY87" s="6"/>
      <c r="GA87" s="6"/>
      <c r="GC87" s="6"/>
      <c r="GE87" s="6"/>
    </row>
    <row r="88" spans="5:187">
      <c r="E88" s="421">
        <v>42825</v>
      </c>
      <c r="F88" s="25">
        <f>'Risk Factors'!F88</f>
        <v>1.4800000000000001E-2</v>
      </c>
      <c r="G88" s="25">
        <f>'Risk Factors'!G88</f>
        <v>3.2000000000000002E-3</v>
      </c>
      <c r="H88" s="25">
        <f>'Risk Factors'!H88</f>
        <v>-1.78E-2</v>
      </c>
      <c r="I88" s="25">
        <f>'Risk Factors'!I88</f>
        <v>8.0000000000000004E-4</v>
      </c>
      <c r="J88" s="25">
        <f>BMG!F88</f>
        <v>-1.86325E-2</v>
      </c>
      <c r="K88" s="25">
        <f>'Risk Factors'!J88</f>
        <v>2.9999999999999997E-4</v>
      </c>
      <c r="M88" s="421">
        <v>42825</v>
      </c>
      <c r="N88" s="25">
        <f>'Risk Factors'!F88</f>
        <v>1.4800000000000001E-2</v>
      </c>
      <c r="O88" s="25">
        <f>'Risk Factors'!M88</f>
        <v>1.48E-3</v>
      </c>
      <c r="P88" s="25">
        <f>'Risk Factors'!N88</f>
        <v>1.5100000000000001E-3</v>
      </c>
      <c r="Q88" s="25">
        <f>'Risk Factors'!O88</f>
        <v>1.5399999999999999E-3</v>
      </c>
      <c r="R88" s="25">
        <f>'Risk Factors'!P88</f>
        <v>1.06E-3</v>
      </c>
      <c r="S88" s="25">
        <f>'Risk Factors'!R88</f>
        <v>5.0000000000000002E-5</v>
      </c>
      <c r="T88" s="25">
        <f>'Risk Factors'!S88</f>
        <v>1.92E-3</v>
      </c>
      <c r="U88" s="25">
        <f>BMG!F88</f>
        <v>-1.86325E-2</v>
      </c>
      <c r="V88" s="25"/>
      <c r="W88" s="421">
        <v>42825</v>
      </c>
      <c r="X88" s="25">
        <f>'Risk Factors'!F88</f>
        <v>1.4800000000000001E-2</v>
      </c>
      <c r="Y88" s="25">
        <f>'Risk Factors'!G88</f>
        <v>3.2000000000000002E-3</v>
      </c>
      <c r="Z88" s="25">
        <f>'Risk Factors'!H88</f>
        <v>-1.78E-2</v>
      </c>
      <c r="AA88" s="25">
        <f>'Risk Factors'!T88</f>
        <v>1.6200000000000001E-3</v>
      </c>
      <c r="AB88" s="25">
        <f>'Risk Factors'!U88</f>
        <v>-1.4600000000000001E-3</v>
      </c>
      <c r="AC88" s="25">
        <f>BMG!F88</f>
        <v>-1.86325E-2</v>
      </c>
      <c r="AE88" s="6"/>
      <c r="AG88" s="6"/>
      <c r="AI88" s="6"/>
      <c r="AK88" s="6"/>
      <c r="AM88" s="6"/>
      <c r="AO88" s="6"/>
      <c r="AQ88" s="6"/>
      <c r="AS88" s="6"/>
      <c r="AU88" s="6"/>
      <c r="AW88" s="6"/>
      <c r="AY88" s="6"/>
      <c r="BA88" s="6"/>
      <c r="BC88" s="6"/>
      <c r="BE88" s="6"/>
      <c r="BG88" s="6"/>
      <c r="BI88" s="6"/>
      <c r="BK88" s="6"/>
      <c r="BM88" s="6"/>
      <c r="BO88" s="6"/>
      <c r="BQ88" s="6"/>
      <c r="BS88" s="6"/>
      <c r="BU88" s="6"/>
      <c r="BW88" s="6"/>
      <c r="BY88" s="6"/>
      <c r="CA88" s="6"/>
      <c r="CC88" s="6"/>
      <c r="CE88" s="6"/>
      <c r="CG88" s="6"/>
      <c r="CI88" s="6"/>
      <c r="CK88" s="6"/>
      <c r="CM88" s="6"/>
      <c r="CO88" s="6"/>
      <c r="CQ88" s="6"/>
      <c r="CS88" s="6"/>
      <c r="CU88" s="6"/>
      <c r="CW88" s="6"/>
      <c r="CY88" s="6"/>
      <c r="DA88" s="6"/>
      <c r="DC88" s="6"/>
      <c r="DE88" s="6"/>
      <c r="DG88" s="6"/>
      <c r="DI88" s="6"/>
      <c r="DK88" s="6"/>
      <c r="DM88" s="6"/>
      <c r="DO88" s="6"/>
      <c r="DQ88" s="6"/>
      <c r="DS88" s="6"/>
      <c r="DU88" s="6"/>
      <c r="DW88" s="6"/>
      <c r="DY88" s="6"/>
      <c r="EA88" s="6"/>
      <c r="EC88" s="6"/>
      <c r="EE88" s="6"/>
      <c r="EG88" s="6"/>
      <c r="EI88" s="6"/>
      <c r="EK88" s="6"/>
      <c r="EM88" s="6"/>
      <c r="EO88" s="6"/>
      <c r="EQ88" s="6"/>
      <c r="ES88" s="6"/>
      <c r="EU88" s="6"/>
      <c r="EW88" s="6"/>
      <c r="EY88" s="6"/>
      <c r="FA88" s="6"/>
      <c r="FC88" s="6"/>
      <c r="FE88" s="6"/>
      <c r="FG88" s="6"/>
      <c r="FI88" s="6"/>
      <c r="FK88" s="6"/>
      <c r="FM88" s="6"/>
      <c r="FO88" s="6"/>
      <c r="FQ88" s="6"/>
      <c r="FS88" s="6"/>
      <c r="FU88" s="6"/>
      <c r="FW88" s="6"/>
      <c r="FY88" s="6"/>
      <c r="GA88" s="6"/>
      <c r="GC88" s="6"/>
      <c r="GE88" s="6"/>
    </row>
    <row r="89" spans="5:187">
      <c r="E89" s="421">
        <v>42855</v>
      </c>
      <c r="F89" s="25">
        <f>'Risk Factors'!F89</f>
        <v>1.8599999999999998E-2</v>
      </c>
      <c r="G89" s="25">
        <f>'Risk Factors'!G89</f>
        <v>3.7000000000000002E-3</v>
      </c>
      <c r="H89" s="25">
        <f>'Risk Factors'!H89</f>
        <v>-1.38E-2</v>
      </c>
      <c r="I89" s="25">
        <f>'Risk Factors'!I89</f>
        <v>-1E-4</v>
      </c>
      <c r="J89" s="25">
        <f>BMG!F89</f>
        <v>-1.84542E-2</v>
      </c>
      <c r="K89" s="25">
        <f>'Risk Factors'!J89</f>
        <v>5.0000000000000001E-4</v>
      </c>
      <c r="M89" s="421">
        <v>42855</v>
      </c>
      <c r="N89" s="25">
        <f>'Risk Factors'!F89</f>
        <v>1.8599999999999998E-2</v>
      </c>
      <c r="O89" s="25">
        <f>'Risk Factors'!M89</f>
        <v>6.0499999999999998E-3</v>
      </c>
      <c r="P89" s="25">
        <f>'Risk Factors'!N89</f>
        <v>1.0460000000000001E-2</v>
      </c>
      <c r="Q89" s="25">
        <f>'Risk Factors'!O89</f>
        <v>1.55E-2</v>
      </c>
      <c r="R89" s="25">
        <f>'Risk Factors'!P89</f>
        <v>1.7149999999999999E-2</v>
      </c>
      <c r="S89" s="25">
        <f>'Risk Factors'!R89</f>
        <v>1.559E-2</v>
      </c>
      <c r="T89" s="25">
        <f>'Risk Factors'!S89</f>
        <v>9.1800000000000007E-3</v>
      </c>
      <c r="U89" s="25">
        <f>BMG!F89</f>
        <v>-1.84542E-2</v>
      </c>
      <c r="V89" s="25"/>
      <c r="W89" s="421">
        <v>42855</v>
      </c>
      <c r="X89" s="25">
        <f>'Risk Factors'!F89</f>
        <v>1.8599999999999998E-2</v>
      </c>
      <c r="Y89" s="25">
        <f>'Risk Factors'!G89</f>
        <v>3.7000000000000002E-3</v>
      </c>
      <c r="Z89" s="25">
        <f>'Risk Factors'!H89</f>
        <v>-1.38E-2</v>
      </c>
      <c r="AA89" s="25">
        <f>'Risk Factors'!T89</f>
        <v>8.6800000000000002E-3</v>
      </c>
      <c r="AB89" s="25">
        <f>'Risk Factors'!U89</f>
        <v>5.1299999999999991E-3</v>
      </c>
      <c r="AC89" s="25">
        <f>BMG!F89</f>
        <v>-1.84542E-2</v>
      </c>
      <c r="AE89" s="6"/>
      <c r="AG89" s="6"/>
      <c r="AI89" s="6"/>
      <c r="AK89" s="6"/>
      <c r="AM89" s="6"/>
      <c r="AO89" s="6"/>
      <c r="AQ89" s="6"/>
      <c r="AS89" s="6"/>
      <c r="AU89" s="6"/>
      <c r="AW89" s="6"/>
      <c r="AY89" s="6"/>
      <c r="BA89" s="6"/>
      <c r="BC89" s="6"/>
      <c r="BE89" s="6"/>
      <c r="BG89" s="6"/>
      <c r="BI89" s="6"/>
      <c r="BK89" s="6"/>
      <c r="BM89" s="6"/>
      <c r="BO89" s="6"/>
      <c r="BQ89" s="6"/>
      <c r="BS89" s="6"/>
      <c r="BU89" s="6"/>
      <c r="BW89" s="6"/>
      <c r="BY89" s="6"/>
      <c r="CA89" s="6"/>
      <c r="CC89" s="6"/>
      <c r="CE89" s="6"/>
      <c r="CG89" s="6"/>
      <c r="CI89" s="6"/>
      <c r="CK89" s="6"/>
      <c r="CM89" s="6"/>
      <c r="CO89" s="6"/>
      <c r="CQ89" s="6"/>
      <c r="CS89" s="6"/>
      <c r="CU89" s="6"/>
      <c r="CW89" s="6"/>
      <c r="CY89" s="6"/>
      <c r="DA89" s="6"/>
      <c r="DC89" s="6"/>
      <c r="DE89" s="6"/>
      <c r="DG89" s="6"/>
      <c r="DI89" s="6"/>
      <c r="DK89" s="6"/>
      <c r="DM89" s="6"/>
      <c r="DO89" s="6"/>
      <c r="DQ89" s="6"/>
      <c r="DS89" s="6"/>
      <c r="DU89" s="6"/>
      <c r="DW89" s="6"/>
      <c r="DY89" s="6"/>
      <c r="EA89" s="6"/>
      <c r="EC89" s="6"/>
      <c r="EE89" s="6"/>
      <c r="EG89" s="6"/>
      <c r="EI89" s="6"/>
      <c r="EK89" s="6"/>
      <c r="EM89" s="6"/>
      <c r="EO89" s="6"/>
      <c r="EQ89" s="6"/>
      <c r="ES89" s="6"/>
      <c r="EU89" s="6"/>
      <c r="EW89" s="6"/>
      <c r="EY89" s="6"/>
      <c r="FA89" s="6"/>
      <c r="FC89" s="6"/>
      <c r="FE89" s="6"/>
      <c r="FG89" s="6"/>
      <c r="FI89" s="6"/>
      <c r="FK89" s="6"/>
      <c r="FM89" s="6"/>
      <c r="FO89" s="6"/>
      <c r="FQ89" s="6"/>
      <c r="FS89" s="6"/>
      <c r="FU89" s="6"/>
      <c r="FW89" s="6"/>
      <c r="FY89" s="6"/>
      <c r="GA89" s="6"/>
      <c r="GC89" s="6"/>
      <c r="GE89" s="6"/>
    </row>
    <row r="90" spans="5:187">
      <c r="E90" s="421">
        <v>42886</v>
      </c>
      <c r="F90" s="25">
        <f>'Risk Factors'!F90</f>
        <v>2.1999999999999999E-2</v>
      </c>
      <c r="G90" s="25">
        <f>'Risk Factors'!G90</f>
        <v>-3.3E-3</v>
      </c>
      <c r="H90" s="25">
        <f>'Risk Factors'!H90</f>
        <v>-2.6700000000000002E-2</v>
      </c>
      <c r="I90" s="25">
        <f>'Risk Factors'!I90</f>
        <v>1.0999999999999999E-2</v>
      </c>
      <c r="J90" s="25">
        <f>BMG!F90</f>
        <v>-1.7465399999999999E-2</v>
      </c>
      <c r="K90" s="25">
        <f>'Risk Factors'!J90</f>
        <v>5.9999999999999995E-4</v>
      </c>
      <c r="M90" s="421">
        <v>42886</v>
      </c>
      <c r="N90" s="25">
        <f>'Risk Factors'!F90</f>
        <v>2.1999999999999999E-2</v>
      </c>
      <c r="O90" s="25">
        <f>'Risk Factors'!M90</f>
        <v>1.005E-2</v>
      </c>
      <c r="P90" s="25">
        <f>'Risk Factors'!N90</f>
        <v>1.4930000000000001E-2</v>
      </c>
      <c r="Q90" s="25">
        <f>'Risk Factors'!O90</f>
        <v>1.9E-2</v>
      </c>
      <c r="R90" s="25">
        <f>'Risk Factors'!P90</f>
        <v>1.9199999999999998E-2</v>
      </c>
      <c r="S90" s="25">
        <f>'Risk Factors'!R90</f>
        <v>1.239E-2</v>
      </c>
      <c r="T90" s="25">
        <f>'Risk Factors'!S90</f>
        <v>1.2760000000000001E-2</v>
      </c>
      <c r="U90" s="25">
        <f>BMG!F90</f>
        <v>-1.7465399999999999E-2</v>
      </c>
      <c r="V90" s="25"/>
      <c r="W90" s="421">
        <v>42886</v>
      </c>
      <c r="X90" s="25">
        <f>'Risk Factors'!F90</f>
        <v>2.1999999999999999E-2</v>
      </c>
      <c r="Y90" s="25">
        <f>'Risk Factors'!G90</f>
        <v>-3.3E-3</v>
      </c>
      <c r="Z90" s="25">
        <f>'Risk Factors'!H90</f>
        <v>-2.6700000000000002E-2</v>
      </c>
      <c r="AA90" s="25">
        <f>'Risk Factors'!T90</f>
        <v>1.2160000000000001E-2</v>
      </c>
      <c r="AB90" s="25">
        <f>'Risk Factors'!U90</f>
        <v>-2.5400000000000006E-3</v>
      </c>
      <c r="AC90" s="25">
        <f>BMG!F90</f>
        <v>-1.7465399999999999E-2</v>
      </c>
      <c r="AE90" s="6"/>
      <c r="AG90" s="6"/>
      <c r="AI90" s="6"/>
      <c r="AK90" s="6"/>
      <c r="AM90" s="6"/>
      <c r="AO90" s="6"/>
      <c r="AQ90" s="6"/>
      <c r="AS90" s="6"/>
      <c r="AU90" s="6"/>
      <c r="AW90" s="6"/>
      <c r="AY90" s="6"/>
      <c r="BA90" s="6"/>
      <c r="BC90" s="6"/>
      <c r="BE90" s="6"/>
      <c r="BG90" s="6"/>
      <c r="BI90" s="6"/>
      <c r="BK90" s="6"/>
      <c r="BM90" s="6"/>
      <c r="BO90" s="6"/>
      <c r="BQ90" s="6"/>
      <c r="BS90" s="6"/>
      <c r="BU90" s="6"/>
      <c r="BW90" s="6"/>
      <c r="BY90" s="6"/>
      <c r="CA90" s="6"/>
      <c r="CC90" s="6"/>
      <c r="CE90" s="6"/>
      <c r="CG90" s="6"/>
      <c r="CI90" s="6"/>
      <c r="CK90" s="6"/>
      <c r="CM90" s="6"/>
      <c r="CO90" s="6"/>
      <c r="CQ90" s="6"/>
      <c r="CS90" s="6"/>
      <c r="CU90" s="6"/>
      <c r="CW90" s="6"/>
      <c r="CY90" s="6"/>
      <c r="DA90" s="6"/>
      <c r="DC90" s="6"/>
      <c r="DE90" s="6"/>
      <c r="DG90" s="6"/>
      <c r="DI90" s="6"/>
      <c r="DK90" s="6"/>
      <c r="DM90" s="6"/>
      <c r="DO90" s="6"/>
      <c r="DQ90" s="6"/>
      <c r="DS90" s="6"/>
      <c r="DU90" s="6"/>
      <c r="DW90" s="6"/>
      <c r="DY90" s="6"/>
      <c r="EA90" s="6"/>
      <c r="EC90" s="6"/>
      <c r="EE90" s="6"/>
      <c r="EG90" s="6"/>
      <c r="EI90" s="6"/>
      <c r="EK90" s="6"/>
      <c r="EM90" s="6"/>
      <c r="EO90" s="6"/>
      <c r="EQ90" s="6"/>
      <c r="ES90" s="6"/>
      <c r="EU90" s="6"/>
      <c r="EW90" s="6"/>
      <c r="EY90" s="6"/>
      <c r="FA90" s="6"/>
      <c r="FC90" s="6"/>
      <c r="FE90" s="6"/>
      <c r="FG90" s="6"/>
      <c r="FI90" s="6"/>
      <c r="FK90" s="6"/>
      <c r="FM90" s="6"/>
      <c r="FO90" s="6"/>
      <c r="FQ90" s="6"/>
      <c r="FS90" s="6"/>
      <c r="FU90" s="6"/>
      <c r="FW90" s="6"/>
      <c r="FY90" s="6"/>
      <c r="GA90" s="6"/>
      <c r="GC90" s="6"/>
      <c r="GE90" s="6"/>
    </row>
    <row r="91" spans="5:187">
      <c r="E91" s="421">
        <v>42916</v>
      </c>
      <c r="F91" s="25">
        <f>'Risk Factors'!F91</f>
        <v>6.0000000000000001E-3</v>
      </c>
      <c r="G91" s="25">
        <f>'Risk Factors'!G91</f>
        <v>1.6799999999999999E-2</v>
      </c>
      <c r="H91" s="25">
        <f>'Risk Factors'!H91</f>
        <v>1.55E-2</v>
      </c>
      <c r="I91" s="25">
        <f>'Risk Factors'!I91</f>
        <v>5.4999999999999997E-3</v>
      </c>
      <c r="J91" s="25">
        <f>BMG!F91</f>
        <v>1.06684E-2</v>
      </c>
      <c r="K91" s="25">
        <f>'Risk Factors'!J91</f>
        <v>5.9999999999999995E-4</v>
      </c>
      <c r="M91" s="421">
        <v>42916</v>
      </c>
      <c r="N91" s="25">
        <f>'Risk Factors'!F91</f>
        <v>6.0000000000000001E-3</v>
      </c>
      <c r="O91" s="25">
        <f>'Risk Factors'!M91</f>
        <v>4.6899999999999997E-3</v>
      </c>
      <c r="P91" s="25">
        <f>'Risk Factors'!N91</f>
        <v>3.8700000000000002E-3</v>
      </c>
      <c r="Q91" s="25">
        <f>'Risk Factors'!O91</f>
        <v>3.0000000000000001E-3</v>
      </c>
      <c r="R91" s="25">
        <f>'Risk Factors'!P91</f>
        <v>1.2999999999999999E-3</v>
      </c>
      <c r="S91" s="25">
        <f>'Risk Factors'!R91</f>
        <v>3.1900000000000001E-3</v>
      </c>
      <c r="T91" s="25">
        <f>'Risk Factors'!S91</f>
        <v>-2.47E-3</v>
      </c>
      <c r="U91" s="25">
        <f>BMG!F91</f>
        <v>1.06684E-2</v>
      </c>
      <c r="V91" s="25"/>
      <c r="W91" s="421">
        <v>42916</v>
      </c>
      <c r="X91" s="25">
        <f>'Risk Factors'!F91</f>
        <v>6.0000000000000001E-3</v>
      </c>
      <c r="Y91" s="25">
        <f>'Risk Factors'!G91</f>
        <v>1.6799999999999999E-2</v>
      </c>
      <c r="Z91" s="25">
        <f>'Risk Factors'!H91</f>
        <v>1.55E-2</v>
      </c>
      <c r="AA91" s="25">
        <f>'Risk Factors'!T91</f>
        <v>-3.0699999999999998E-3</v>
      </c>
      <c r="AB91" s="25">
        <f>'Risk Factors'!U91</f>
        <v>-6.8000000000000005E-4</v>
      </c>
      <c r="AC91" s="25">
        <f>BMG!F91</f>
        <v>1.06684E-2</v>
      </c>
      <c r="AE91" s="6"/>
      <c r="AG91" s="6"/>
      <c r="AI91" s="6"/>
      <c r="AK91" s="6"/>
      <c r="AM91" s="6"/>
      <c r="AO91" s="6"/>
      <c r="AQ91" s="6"/>
      <c r="AS91" s="6"/>
      <c r="AU91" s="6"/>
      <c r="AW91" s="6"/>
      <c r="AY91" s="6"/>
      <c r="BA91" s="6"/>
      <c r="BC91" s="6"/>
      <c r="BE91" s="6"/>
      <c r="BG91" s="6"/>
      <c r="BI91" s="6"/>
      <c r="BK91" s="6"/>
      <c r="BM91" s="6"/>
      <c r="BO91" s="6"/>
      <c r="BQ91" s="6"/>
      <c r="BS91" s="6"/>
      <c r="BU91" s="6"/>
      <c r="BW91" s="6"/>
      <c r="BY91" s="6"/>
      <c r="CA91" s="6"/>
      <c r="CC91" s="6"/>
      <c r="CE91" s="6"/>
      <c r="CG91" s="6"/>
      <c r="CI91" s="6"/>
      <c r="CK91" s="6"/>
      <c r="CM91" s="6"/>
      <c r="CO91" s="6"/>
      <c r="CQ91" s="6"/>
      <c r="CS91" s="6"/>
      <c r="CU91" s="6"/>
      <c r="CW91" s="6"/>
      <c r="CY91" s="6"/>
      <c r="DA91" s="6"/>
      <c r="DC91" s="6"/>
      <c r="DE91" s="6"/>
      <c r="DG91" s="6"/>
      <c r="DI91" s="6"/>
      <c r="DK91" s="6"/>
      <c r="DM91" s="6"/>
      <c r="DO91" s="6"/>
      <c r="DQ91" s="6"/>
      <c r="DS91" s="6"/>
      <c r="DU91" s="6"/>
      <c r="DW91" s="6"/>
      <c r="DY91" s="6"/>
      <c r="EA91" s="6"/>
      <c r="EC91" s="6"/>
      <c r="EE91" s="6"/>
      <c r="EG91" s="6"/>
      <c r="EI91" s="6"/>
      <c r="EK91" s="6"/>
      <c r="EM91" s="6"/>
      <c r="EO91" s="6"/>
      <c r="EQ91" s="6"/>
      <c r="ES91" s="6"/>
      <c r="EU91" s="6"/>
      <c r="EW91" s="6"/>
      <c r="EY91" s="6"/>
      <c r="FA91" s="6"/>
      <c r="FC91" s="6"/>
      <c r="FE91" s="6"/>
      <c r="FG91" s="6"/>
      <c r="FI91" s="6"/>
      <c r="FK91" s="6"/>
      <c r="FM91" s="6"/>
      <c r="FO91" s="6"/>
      <c r="FQ91" s="6"/>
      <c r="FS91" s="6"/>
      <c r="FU91" s="6"/>
      <c r="FW91" s="6"/>
      <c r="FY91" s="6"/>
      <c r="GA91" s="6"/>
      <c r="GC91" s="6"/>
      <c r="GE91" s="6"/>
    </row>
    <row r="92" spans="5:187">
      <c r="E92" s="421">
        <v>42947</v>
      </c>
      <c r="F92" s="25">
        <f>'Risk Factors'!F92</f>
        <v>2.5100000000000001E-2</v>
      </c>
      <c r="G92" s="25">
        <f>'Risk Factors'!G92</f>
        <v>-1E-3</v>
      </c>
      <c r="H92" s="25">
        <f>'Risk Factors'!H92</f>
        <v>1.18E-2</v>
      </c>
      <c r="I92" s="25">
        <f>'Risk Factors'!I92</f>
        <v>1.7399999999999999E-2</v>
      </c>
      <c r="J92" s="25">
        <f>BMG!F92</f>
        <v>4.5535999999999997E-3</v>
      </c>
      <c r="K92" s="25">
        <f>'Risk Factors'!J92</f>
        <v>6.9999999999999999E-4</v>
      </c>
      <c r="M92" s="421">
        <v>42947</v>
      </c>
      <c r="N92" s="25">
        <f>'Risk Factors'!F92</f>
        <v>2.5100000000000001E-2</v>
      </c>
      <c r="O92" s="25">
        <f>'Risk Factors'!M92</f>
        <v>1.4540000000000001E-2</v>
      </c>
      <c r="P92" s="25">
        <f>'Risk Factors'!N92</f>
        <v>1.8610000000000002E-2</v>
      </c>
      <c r="Q92" s="25">
        <f>'Risk Factors'!O92</f>
        <v>2.1860000000000001E-2</v>
      </c>
      <c r="R92" s="25">
        <f>'Risk Factors'!P92</f>
        <v>2.0490000000000001E-2</v>
      </c>
      <c r="S92" s="25">
        <f>'Risk Factors'!R92</f>
        <v>1.66E-2</v>
      </c>
      <c r="T92" s="25">
        <f>'Risk Factors'!S92</f>
        <v>1.6899999999999998E-2</v>
      </c>
      <c r="U92" s="25">
        <f>BMG!F92</f>
        <v>4.5535999999999997E-3</v>
      </c>
      <c r="V92" s="25"/>
      <c r="W92" s="421">
        <v>42947</v>
      </c>
      <c r="X92" s="25">
        <f>'Risk Factors'!F92</f>
        <v>2.5100000000000001E-2</v>
      </c>
      <c r="Y92" s="25">
        <f>'Risk Factors'!G92</f>
        <v>-1E-3</v>
      </c>
      <c r="Z92" s="25">
        <f>'Risk Factors'!H92</f>
        <v>1.18E-2</v>
      </c>
      <c r="AA92" s="25">
        <f>'Risk Factors'!T92</f>
        <v>1.6199999999999999E-2</v>
      </c>
      <c r="AB92" s="25">
        <f>'Risk Factors'!U92</f>
        <v>-2.0100000000000014E-3</v>
      </c>
      <c r="AC92" s="25">
        <f>BMG!F92</f>
        <v>4.5535999999999997E-3</v>
      </c>
      <c r="AE92" s="6"/>
      <c r="AG92" s="6"/>
      <c r="AI92" s="6"/>
      <c r="AK92" s="6"/>
      <c r="AM92" s="6"/>
      <c r="AO92" s="6"/>
      <c r="AQ92" s="6"/>
      <c r="AS92" s="6"/>
      <c r="AU92" s="6"/>
      <c r="AW92" s="6"/>
      <c r="AY92" s="6"/>
      <c r="BA92" s="6"/>
      <c r="BC92" s="6"/>
      <c r="BE92" s="6"/>
      <c r="BG92" s="6"/>
      <c r="BI92" s="6"/>
      <c r="BK92" s="6"/>
      <c r="BM92" s="6"/>
      <c r="BO92" s="6"/>
      <c r="BQ92" s="6"/>
      <c r="BS92" s="6"/>
      <c r="BU92" s="6"/>
      <c r="BW92" s="6"/>
      <c r="BY92" s="6"/>
      <c r="CA92" s="6"/>
      <c r="CC92" s="6"/>
      <c r="CE92" s="6"/>
      <c r="CG92" s="6"/>
      <c r="CI92" s="6"/>
      <c r="CK92" s="6"/>
      <c r="CM92" s="6"/>
      <c r="CO92" s="6"/>
      <c r="CQ92" s="6"/>
      <c r="CS92" s="6"/>
      <c r="CU92" s="6"/>
      <c r="CW92" s="6"/>
      <c r="CY92" s="6"/>
      <c r="DA92" s="6"/>
      <c r="DC92" s="6"/>
      <c r="DE92" s="6"/>
      <c r="DG92" s="6"/>
      <c r="DI92" s="6"/>
      <c r="DK92" s="6"/>
      <c r="DM92" s="6"/>
      <c r="DO92" s="6"/>
      <c r="DQ92" s="6"/>
      <c r="DS92" s="6"/>
      <c r="DU92" s="6"/>
      <c r="DW92" s="6"/>
      <c r="DY92" s="6"/>
      <c r="EA92" s="6"/>
      <c r="EC92" s="6"/>
      <c r="EE92" s="6"/>
      <c r="EG92" s="6"/>
      <c r="EI92" s="6"/>
      <c r="EK92" s="6"/>
      <c r="EM92" s="6"/>
      <c r="EO92" s="6"/>
      <c r="EQ92" s="6"/>
      <c r="ES92" s="6"/>
      <c r="EU92" s="6"/>
      <c r="EW92" s="6"/>
      <c r="EY92" s="6"/>
      <c r="FA92" s="6"/>
      <c r="FC92" s="6"/>
      <c r="FE92" s="6"/>
      <c r="FG92" s="6"/>
      <c r="FI92" s="6"/>
      <c r="FK92" s="6"/>
      <c r="FM92" s="6"/>
      <c r="FO92" s="6"/>
      <c r="FQ92" s="6"/>
      <c r="FS92" s="6"/>
      <c r="FU92" s="6"/>
      <c r="FW92" s="6"/>
      <c r="FY92" s="6"/>
      <c r="GA92" s="6"/>
      <c r="GC92" s="6"/>
      <c r="GE92" s="6"/>
    </row>
    <row r="93" spans="5:187">
      <c r="E93" s="421">
        <v>42978</v>
      </c>
      <c r="F93" s="25">
        <f>'Risk Factors'!F93</f>
        <v>1.2999999999999999E-3</v>
      </c>
      <c r="G93" s="25">
        <f>'Risk Factors'!G93</f>
        <v>-1.5E-3</v>
      </c>
      <c r="H93" s="25">
        <f>'Risk Factors'!H93</f>
        <v>-1.3100000000000001E-2</v>
      </c>
      <c r="I93" s="25">
        <f>'Risk Factors'!I93</f>
        <v>2.0299999999999999E-2</v>
      </c>
      <c r="J93" s="25">
        <f>BMG!F93</f>
        <v>3.9975999999999996E-3</v>
      </c>
      <c r="K93" s="25">
        <f>'Risk Factors'!J93</f>
        <v>8.9999999999999998E-4</v>
      </c>
      <c r="M93" s="421">
        <v>42978</v>
      </c>
      <c r="N93" s="25">
        <f>'Risk Factors'!F93</f>
        <v>1.2999999999999999E-3</v>
      </c>
      <c r="O93" s="25">
        <f>'Risk Factors'!M93</f>
        <v>3.0500000000000002E-3</v>
      </c>
      <c r="P93" s="25">
        <f>'Risk Factors'!N93</f>
        <v>5.94E-3</v>
      </c>
      <c r="Q93" s="25">
        <f>'Risk Factors'!O93</f>
        <v>8.9999999999999993E-3</v>
      </c>
      <c r="R93" s="25">
        <f>'Risk Factors'!P93</f>
        <v>1.14E-2</v>
      </c>
      <c r="S93" s="25">
        <f>'Risk Factors'!R93</f>
        <v>3.3899999999999998E-3</v>
      </c>
      <c r="T93" s="25">
        <f>'Risk Factors'!S93</f>
        <v>7.1500000000000001E-3</v>
      </c>
      <c r="U93" s="25">
        <f>BMG!F93</f>
        <v>3.9975999999999996E-3</v>
      </c>
      <c r="V93" s="25"/>
      <c r="W93" s="421">
        <v>42978</v>
      </c>
      <c r="X93" s="25">
        <f>'Risk Factors'!F93</f>
        <v>1.2999999999999999E-3</v>
      </c>
      <c r="Y93" s="25">
        <f>'Risk Factors'!G93</f>
        <v>-1.5E-3</v>
      </c>
      <c r="Z93" s="25">
        <f>'Risk Factors'!H93</f>
        <v>-1.3100000000000001E-2</v>
      </c>
      <c r="AA93" s="25">
        <f>'Risk Factors'!T93</f>
        <v>6.2500000000000003E-3</v>
      </c>
      <c r="AB93" s="25">
        <f>'Risk Factors'!U93</f>
        <v>-2.5500000000000002E-3</v>
      </c>
      <c r="AC93" s="25">
        <f>BMG!F93</f>
        <v>3.9975999999999996E-3</v>
      </c>
      <c r="AE93" s="6"/>
      <c r="AG93" s="6"/>
      <c r="AI93" s="6"/>
      <c r="AK93" s="6"/>
      <c r="AM93" s="6"/>
      <c r="AO93" s="6"/>
      <c r="AQ93" s="6"/>
      <c r="AS93" s="6"/>
      <c r="AU93" s="6"/>
      <c r="AW93" s="6"/>
      <c r="AY93" s="6"/>
      <c r="BA93" s="6"/>
      <c r="BC93" s="6"/>
      <c r="BE93" s="6"/>
      <c r="BG93" s="6"/>
      <c r="BI93" s="6"/>
      <c r="BK93" s="6"/>
      <c r="BM93" s="6"/>
      <c r="BO93" s="6"/>
      <c r="BQ93" s="6"/>
      <c r="BS93" s="6"/>
      <c r="BU93" s="6"/>
      <c r="BW93" s="6"/>
      <c r="BY93" s="6"/>
      <c r="CA93" s="6"/>
      <c r="CC93" s="6"/>
      <c r="CE93" s="6"/>
      <c r="CG93" s="6"/>
      <c r="CI93" s="6"/>
      <c r="CK93" s="6"/>
      <c r="CM93" s="6"/>
      <c r="CO93" s="6"/>
      <c r="CQ93" s="6"/>
      <c r="CS93" s="6"/>
      <c r="CU93" s="6"/>
      <c r="CW93" s="6"/>
      <c r="CY93" s="6"/>
      <c r="DA93" s="6"/>
      <c r="DC93" s="6"/>
      <c r="DE93" s="6"/>
      <c r="DG93" s="6"/>
      <c r="DI93" s="6"/>
      <c r="DK93" s="6"/>
      <c r="DM93" s="6"/>
      <c r="DO93" s="6"/>
      <c r="DQ93" s="6"/>
      <c r="DS93" s="6"/>
      <c r="DU93" s="6"/>
      <c r="DW93" s="6"/>
      <c r="DY93" s="6"/>
      <c r="EA93" s="6"/>
      <c r="EC93" s="6"/>
      <c r="EE93" s="6"/>
      <c r="EG93" s="6"/>
      <c r="EI93" s="6"/>
      <c r="EK93" s="6"/>
      <c r="EM93" s="6"/>
      <c r="EO93" s="6"/>
      <c r="EQ93" s="6"/>
      <c r="ES93" s="6"/>
      <c r="EU93" s="6"/>
      <c r="EW93" s="6"/>
      <c r="EY93" s="6"/>
      <c r="FA93" s="6"/>
      <c r="FC93" s="6"/>
      <c r="FE93" s="6"/>
      <c r="FG93" s="6"/>
      <c r="FI93" s="6"/>
      <c r="FK93" s="6"/>
      <c r="FM93" s="6"/>
      <c r="FO93" s="6"/>
      <c r="FQ93" s="6"/>
      <c r="FS93" s="6"/>
      <c r="FU93" s="6"/>
      <c r="FW93" s="6"/>
      <c r="FY93" s="6"/>
      <c r="GA93" s="6"/>
      <c r="GC93" s="6"/>
      <c r="GE93" s="6"/>
    </row>
    <row r="94" spans="5:187">
      <c r="E94" s="421">
        <v>43008</v>
      </c>
      <c r="F94" s="25">
        <f>'Risk Factors'!F94</f>
        <v>2.3E-2</v>
      </c>
      <c r="G94" s="25">
        <f>'Risk Factors'!G94</f>
        <v>1.2699999999999999E-2</v>
      </c>
      <c r="H94" s="25">
        <f>'Risk Factors'!H94</f>
        <v>1.61E-2</v>
      </c>
      <c r="I94" s="25">
        <f>'Risk Factors'!I94</f>
        <v>2.9999999999999997E-4</v>
      </c>
      <c r="J94" s="25">
        <f>BMG!F94</f>
        <v>-1.5708E-3</v>
      </c>
      <c r="K94" s="25">
        <f>'Risk Factors'!J94</f>
        <v>8.9999999999999998E-4</v>
      </c>
      <c r="M94" s="421">
        <v>43008</v>
      </c>
      <c r="N94" s="25">
        <f>'Risk Factors'!F94</f>
        <v>2.3E-2</v>
      </c>
      <c r="O94" s="25">
        <f>'Risk Factors'!M94</f>
        <v>-1.17E-3</v>
      </c>
      <c r="P94" s="25">
        <f>'Risk Factors'!N94</f>
        <v>-2.5699999999999998E-3</v>
      </c>
      <c r="Q94" s="25">
        <f>'Risk Factors'!O94</f>
        <v>-3.8700000000000002E-3</v>
      </c>
      <c r="R94" s="25">
        <f>'Risk Factors'!P94</f>
        <v>-5.2700000000000004E-3</v>
      </c>
      <c r="S94" s="25">
        <f>'Risk Factors'!R94</f>
        <v>8.4700000000000001E-3</v>
      </c>
      <c r="T94" s="25">
        <f>'Risk Factors'!S94</f>
        <v>-9.8399999999999998E-3</v>
      </c>
      <c r="U94" s="25">
        <f>BMG!F94</f>
        <v>-1.5708E-3</v>
      </c>
      <c r="V94" s="25"/>
      <c r="W94" s="421">
        <v>43008</v>
      </c>
      <c r="X94" s="25">
        <f>'Risk Factors'!F94</f>
        <v>2.3E-2</v>
      </c>
      <c r="Y94" s="25">
        <f>'Risk Factors'!G94</f>
        <v>1.2699999999999999E-2</v>
      </c>
      <c r="Z94" s="25">
        <f>'Risk Factors'!H94</f>
        <v>1.61E-2</v>
      </c>
      <c r="AA94" s="25">
        <f>'Risk Factors'!T94</f>
        <v>-1.074E-2</v>
      </c>
      <c r="AB94" s="25">
        <f>'Risk Factors'!U94</f>
        <v>1.1039999999999999E-2</v>
      </c>
      <c r="AC94" s="25">
        <f>BMG!F94</f>
        <v>-1.5708E-3</v>
      </c>
      <c r="AE94" s="6"/>
      <c r="AG94" s="6"/>
      <c r="AI94" s="6"/>
      <c r="AK94" s="6"/>
      <c r="AM94" s="6"/>
      <c r="AO94" s="6"/>
      <c r="AQ94" s="6"/>
      <c r="AS94" s="6"/>
      <c r="AU94" s="6"/>
      <c r="AW94" s="6"/>
      <c r="AY94" s="6"/>
      <c r="BA94" s="6"/>
      <c r="BC94" s="6"/>
      <c r="BE94" s="6"/>
      <c r="BG94" s="6"/>
      <c r="BI94" s="6"/>
      <c r="BK94" s="6"/>
      <c r="BM94" s="6"/>
      <c r="BO94" s="6"/>
      <c r="BQ94" s="6"/>
      <c r="BS94" s="6"/>
      <c r="BU94" s="6"/>
      <c r="BW94" s="6"/>
      <c r="BY94" s="6"/>
      <c r="CA94" s="6"/>
      <c r="CC94" s="6"/>
      <c r="CE94" s="6"/>
      <c r="CG94" s="6"/>
      <c r="CI94" s="6"/>
      <c r="CK94" s="6"/>
      <c r="CM94" s="6"/>
      <c r="CO94" s="6"/>
      <c r="CQ94" s="6"/>
      <c r="CS94" s="6"/>
      <c r="CU94" s="6"/>
      <c r="CW94" s="6"/>
      <c r="CY94" s="6"/>
      <c r="DA94" s="6"/>
      <c r="DC94" s="6"/>
      <c r="DE94" s="6"/>
      <c r="DG94" s="6"/>
      <c r="DI94" s="6"/>
      <c r="DK94" s="6"/>
      <c r="DM94" s="6"/>
      <c r="DO94" s="6"/>
      <c r="DQ94" s="6"/>
      <c r="DS94" s="6"/>
      <c r="DU94" s="6"/>
      <c r="DW94" s="6"/>
      <c r="DY94" s="6"/>
      <c r="EA94" s="6"/>
      <c r="EC94" s="6"/>
      <c r="EE94" s="6"/>
      <c r="EG94" s="6"/>
      <c r="EI94" s="6"/>
      <c r="EK94" s="6"/>
      <c r="EM94" s="6"/>
      <c r="EO94" s="6"/>
      <c r="EQ94" s="6"/>
      <c r="ES94" s="6"/>
      <c r="EU94" s="6"/>
      <c r="EW94" s="6"/>
      <c r="EY94" s="6"/>
      <c r="FA94" s="6"/>
      <c r="FC94" s="6"/>
      <c r="FE94" s="6"/>
      <c r="FG94" s="6"/>
      <c r="FI94" s="6"/>
      <c r="FK94" s="6"/>
      <c r="FM94" s="6"/>
      <c r="FO94" s="6"/>
      <c r="FQ94" s="6"/>
      <c r="FS94" s="6"/>
      <c r="FU94" s="6"/>
      <c r="FW94" s="6"/>
      <c r="FY94" s="6"/>
      <c r="GA94" s="6"/>
      <c r="GC94" s="6"/>
      <c r="GE94" s="6"/>
    </row>
    <row r="95" spans="5:187">
      <c r="E95" s="421">
        <v>43039</v>
      </c>
      <c r="F95" s="25">
        <f>'Risk Factors'!F95</f>
        <v>1.7999999999999999E-2</v>
      </c>
      <c r="G95" s="25">
        <f>'Risk Factors'!G95</f>
        <v>-8.6999999999999994E-3</v>
      </c>
      <c r="H95" s="25">
        <f>'Risk Factors'!H95</f>
        <v>-9.2999999999999992E-3</v>
      </c>
      <c r="I95" s="25">
        <f>'Risk Factors'!I95</f>
        <v>3.4599999999999999E-2</v>
      </c>
      <c r="J95" s="25">
        <f>BMG!F95</f>
        <v>-1.3669499999999999E-2</v>
      </c>
      <c r="K95" s="25">
        <f>'Risk Factors'!J95</f>
        <v>8.9999999999999998E-4</v>
      </c>
      <c r="M95" s="421">
        <v>43039</v>
      </c>
      <c r="N95" s="25">
        <f>'Risk Factors'!F95</f>
        <v>1.7999999999999999E-2</v>
      </c>
      <c r="O95" s="25">
        <f>'Risk Factors'!M95</f>
        <v>-4.3299999999999996E-3</v>
      </c>
      <c r="P95" s="25">
        <f>'Risk Factors'!N95</f>
        <v>-2.81E-3</v>
      </c>
      <c r="Q95" s="25">
        <f>'Risk Factors'!O95</f>
        <v>-4.0999999999999999E-4</v>
      </c>
      <c r="R95" s="25">
        <f>'Risk Factors'!P95</f>
        <v>3.3500000000000001E-3</v>
      </c>
      <c r="S95" s="25">
        <f>'Risk Factors'!R95</f>
        <v>3.0899999999999999E-3</v>
      </c>
      <c r="T95" s="25">
        <f>'Risk Factors'!S95</f>
        <v>-6.1399999999999996E-3</v>
      </c>
      <c r="U95" s="25">
        <f>BMG!F95</f>
        <v>-1.3669499999999999E-2</v>
      </c>
      <c r="V95" s="25"/>
      <c r="W95" s="421">
        <v>43039</v>
      </c>
      <c r="X95" s="25">
        <f>'Risk Factors'!F95</f>
        <v>1.7999999999999999E-2</v>
      </c>
      <c r="Y95" s="25">
        <f>'Risk Factors'!G95</f>
        <v>-8.6999999999999994E-3</v>
      </c>
      <c r="Z95" s="25">
        <f>'Risk Factors'!H95</f>
        <v>-9.2999999999999992E-3</v>
      </c>
      <c r="AA95" s="25">
        <f>'Risk Factors'!T95</f>
        <v>-7.0399999999999994E-3</v>
      </c>
      <c r="AB95" s="25">
        <f>'Risk Factors'!U95</f>
        <v>5.8999999999999999E-3</v>
      </c>
      <c r="AC95" s="25">
        <f>BMG!F95</f>
        <v>-1.3669499999999999E-2</v>
      </c>
      <c r="AE95" s="6"/>
      <c r="AG95" s="6"/>
      <c r="AI95" s="6"/>
      <c r="AK95" s="6"/>
      <c r="AM95" s="6"/>
      <c r="AO95" s="6"/>
      <c r="AQ95" s="6"/>
      <c r="AS95" s="6"/>
      <c r="AU95" s="6"/>
      <c r="AW95" s="6"/>
      <c r="AY95" s="6"/>
      <c r="BA95" s="6"/>
      <c r="BC95" s="6"/>
      <c r="BE95" s="6"/>
      <c r="BG95" s="6"/>
      <c r="BI95" s="6"/>
      <c r="BK95" s="6"/>
      <c r="BM95" s="6"/>
      <c r="BO95" s="6"/>
      <c r="BQ95" s="6"/>
      <c r="BS95" s="6"/>
      <c r="BU95" s="6"/>
      <c r="BW95" s="6"/>
      <c r="BY95" s="6"/>
      <c r="CA95" s="6"/>
      <c r="CC95" s="6"/>
      <c r="CE95" s="6"/>
      <c r="CG95" s="6"/>
      <c r="CI95" s="6"/>
      <c r="CK95" s="6"/>
      <c r="CM95" s="6"/>
      <c r="CO95" s="6"/>
      <c r="CQ95" s="6"/>
      <c r="CS95" s="6"/>
      <c r="CU95" s="6"/>
      <c r="CW95" s="6"/>
      <c r="CY95" s="6"/>
      <c r="DA95" s="6"/>
      <c r="DC95" s="6"/>
      <c r="DE95" s="6"/>
      <c r="DG95" s="6"/>
      <c r="DI95" s="6"/>
      <c r="DK95" s="6"/>
      <c r="DM95" s="6"/>
      <c r="DO95" s="6"/>
      <c r="DQ95" s="6"/>
      <c r="DS95" s="6"/>
      <c r="DU95" s="6"/>
      <c r="DW95" s="6"/>
      <c r="DY95" s="6"/>
      <c r="EA95" s="6"/>
      <c r="EC95" s="6"/>
      <c r="EE95" s="6"/>
      <c r="EG95" s="6"/>
      <c r="EI95" s="6"/>
      <c r="EK95" s="6"/>
      <c r="EM95" s="6"/>
      <c r="EO95" s="6"/>
      <c r="EQ95" s="6"/>
      <c r="ES95" s="6"/>
      <c r="EU95" s="6"/>
      <c r="EW95" s="6"/>
      <c r="EY95" s="6"/>
      <c r="FA95" s="6"/>
      <c r="FC95" s="6"/>
      <c r="FE95" s="6"/>
      <c r="FG95" s="6"/>
      <c r="FI95" s="6"/>
      <c r="FK95" s="6"/>
      <c r="FM95" s="6"/>
      <c r="FO95" s="6"/>
      <c r="FQ95" s="6"/>
      <c r="FS95" s="6"/>
      <c r="FU95" s="6"/>
      <c r="FW95" s="6"/>
      <c r="FY95" s="6"/>
      <c r="GA95" s="6"/>
      <c r="GC95" s="6"/>
      <c r="GE95" s="6"/>
    </row>
    <row r="96" spans="5:187">
      <c r="E96" s="421">
        <v>43069</v>
      </c>
      <c r="F96" s="25">
        <f>'Risk Factors'!F96</f>
        <v>1.9300000000000001E-2</v>
      </c>
      <c r="G96" s="25">
        <f>'Risk Factors'!G96</f>
        <v>-6.1000000000000004E-3</v>
      </c>
      <c r="H96" s="25">
        <f>'Risk Factors'!H96</f>
        <v>-2.7000000000000001E-3</v>
      </c>
      <c r="I96" s="25">
        <f>'Risk Factors'!I96</f>
        <v>5.1999999999999998E-3</v>
      </c>
      <c r="J96" s="25">
        <f>BMG!F96</f>
        <v>1.03312E-2</v>
      </c>
      <c r="K96" s="25">
        <f>'Risk Factors'!J96</f>
        <v>8.0000000000000004E-4</v>
      </c>
      <c r="M96" s="421">
        <v>43069</v>
      </c>
      <c r="N96" s="25">
        <f>'Risk Factors'!F96</f>
        <v>1.9300000000000001E-2</v>
      </c>
      <c r="O96" s="25">
        <f>'Risk Factors'!M96</f>
        <v>5.13E-3</v>
      </c>
      <c r="P96" s="25">
        <f>'Risk Factors'!N96</f>
        <v>5.3600000000000002E-3</v>
      </c>
      <c r="Q96" s="25">
        <f>'Risk Factors'!O96</f>
        <v>6.5700000000000003E-3</v>
      </c>
      <c r="R96" s="25">
        <f>'Risk Factors'!P96</f>
        <v>5.3400000000000001E-3</v>
      </c>
      <c r="S96" s="25">
        <f>'Risk Factors'!R96</f>
        <v>1.0399999999999999E-3</v>
      </c>
      <c r="T96" s="25">
        <f>'Risk Factors'!S96</f>
        <v>1.021E-2</v>
      </c>
      <c r="U96" s="25">
        <f>BMG!F96</f>
        <v>1.03312E-2</v>
      </c>
      <c r="V96" s="25"/>
      <c r="W96" s="421">
        <v>43069</v>
      </c>
      <c r="X96" s="25">
        <f>'Risk Factors'!F96</f>
        <v>1.9300000000000001E-2</v>
      </c>
      <c r="Y96" s="25">
        <f>'Risk Factors'!G96</f>
        <v>-6.1000000000000004E-3</v>
      </c>
      <c r="Z96" s="25">
        <f>'Risk Factors'!H96</f>
        <v>-2.7000000000000001E-3</v>
      </c>
      <c r="AA96" s="25">
        <f>'Risk Factors'!T96</f>
        <v>9.41E-3</v>
      </c>
      <c r="AB96" s="25">
        <f>'Risk Factors'!U96</f>
        <v>-4.3200000000000001E-3</v>
      </c>
      <c r="AC96" s="25">
        <f>BMG!F96</f>
        <v>1.03312E-2</v>
      </c>
      <c r="AE96" s="6"/>
      <c r="AG96" s="6"/>
      <c r="AI96" s="6"/>
      <c r="AK96" s="6"/>
      <c r="AM96" s="6"/>
      <c r="AO96" s="6"/>
      <c r="AQ96" s="6"/>
      <c r="AS96" s="6"/>
      <c r="AU96" s="6"/>
      <c r="AW96" s="6"/>
      <c r="AY96" s="6"/>
      <c r="BA96" s="6"/>
      <c r="BC96" s="6"/>
      <c r="BE96" s="6"/>
      <c r="BG96" s="6"/>
      <c r="BI96" s="6"/>
      <c r="BK96" s="6"/>
      <c r="BM96" s="6"/>
      <c r="BO96" s="6"/>
      <c r="BQ96" s="6"/>
      <c r="BS96" s="6"/>
      <c r="BU96" s="6"/>
      <c r="BW96" s="6"/>
      <c r="BY96" s="6"/>
      <c r="CA96" s="6"/>
      <c r="CC96" s="6"/>
      <c r="CE96" s="6"/>
      <c r="CG96" s="6"/>
      <c r="CI96" s="6"/>
      <c r="CK96" s="6"/>
      <c r="CM96" s="6"/>
      <c r="CO96" s="6"/>
      <c r="CQ96" s="6"/>
      <c r="CS96" s="6"/>
      <c r="CU96" s="6"/>
      <c r="CW96" s="6"/>
      <c r="CY96" s="6"/>
      <c r="DA96" s="6"/>
      <c r="DC96" s="6"/>
      <c r="DE96" s="6"/>
      <c r="DG96" s="6"/>
      <c r="DI96" s="6"/>
      <c r="DK96" s="6"/>
      <c r="DM96" s="6"/>
      <c r="DO96" s="6"/>
      <c r="DQ96" s="6"/>
      <c r="DS96" s="6"/>
      <c r="DU96" s="6"/>
      <c r="DW96" s="6"/>
      <c r="DY96" s="6"/>
      <c r="EA96" s="6"/>
      <c r="EC96" s="6"/>
      <c r="EE96" s="6"/>
      <c r="EG96" s="6"/>
      <c r="EI96" s="6"/>
      <c r="EK96" s="6"/>
      <c r="EM96" s="6"/>
      <c r="EO96" s="6"/>
      <c r="EQ96" s="6"/>
      <c r="ES96" s="6"/>
      <c r="EU96" s="6"/>
      <c r="EW96" s="6"/>
      <c r="EY96" s="6"/>
      <c r="FA96" s="6"/>
      <c r="FC96" s="6"/>
      <c r="FE96" s="6"/>
      <c r="FG96" s="6"/>
      <c r="FI96" s="6"/>
      <c r="FK96" s="6"/>
      <c r="FM96" s="6"/>
      <c r="FO96" s="6"/>
      <c r="FQ96" s="6"/>
      <c r="FS96" s="6"/>
      <c r="FU96" s="6"/>
      <c r="FW96" s="6"/>
      <c r="FY96" s="6"/>
      <c r="GA96" s="6"/>
      <c r="GC96" s="6"/>
      <c r="GE96" s="6"/>
    </row>
    <row r="97" spans="5:187">
      <c r="E97" s="421">
        <v>43100</v>
      </c>
      <c r="F97" s="25">
        <f>'Risk Factors'!F97</f>
        <v>1.38E-2</v>
      </c>
      <c r="G97" s="25">
        <f>'Risk Factors'!G97</f>
        <v>8.9999999999999993E-3</v>
      </c>
      <c r="H97" s="25">
        <f>'Risk Factors'!H97</f>
        <v>2.2000000000000001E-3</v>
      </c>
      <c r="I97" s="25">
        <f>'Risk Factors'!I97</f>
        <v>-1.0800000000000001E-2</v>
      </c>
      <c r="J97" s="25">
        <f>BMG!F97</f>
        <v>9.2837000000000006E-3</v>
      </c>
      <c r="K97" s="25">
        <f>'Risk Factors'!J97</f>
        <v>8.9999999999999998E-4</v>
      </c>
      <c r="M97" s="421">
        <v>43100</v>
      </c>
      <c r="N97" s="25">
        <f>'Risk Factors'!F97</f>
        <v>1.38E-2</v>
      </c>
      <c r="O97" s="25">
        <f>'Risk Factors'!M97</f>
        <v>3.47E-3</v>
      </c>
      <c r="P97" s="25">
        <f>'Risk Factors'!N97</f>
        <v>3.4499999999999999E-3</v>
      </c>
      <c r="Q97" s="25">
        <f>'Risk Factors'!O97</f>
        <v>4.1700000000000001E-3</v>
      </c>
      <c r="R97" s="25">
        <f>'Risk Factors'!P97</f>
        <v>5.4599999999999996E-3</v>
      </c>
      <c r="S97" s="25">
        <f>'Risk Factors'!R97</f>
        <v>3.5300000000000002E-3</v>
      </c>
      <c r="T97" s="25">
        <f>'Risk Factors'!S97</f>
        <v>-2.2000000000000001E-4</v>
      </c>
      <c r="U97" s="25">
        <f>BMG!F97</f>
        <v>9.2837000000000006E-3</v>
      </c>
      <c r="V97" s="25"/>
      <c r="W97" s="421">
        <v>43100</v>
      </c>
      <c r="X97" s="25">
        <f>'Risk Factors'!F97</f>
        <v>1.38E-2</v>
      </c>
      <c r="Y97" s="25">
        <f>'Risk Factors'!G97</f>
        <v>8.9999999999999993E-3</v>
      </c>
      <c r="Z97" s="25">
        <f>'Risk Factors'!H97</f>
        <v>2.2000000000000001E-3</v>
      </c>
      <c r="AA97" s="25">
        <f>'Risk Factors'!T97</f>
        <v>-1.1199999999999999E-3</v>
      </c>
      <c r="AB97" s="25">
        <f>'Risk Factors'!U97</f>
        <v>8.000000000000021E-5</v>
      </c>
      <c r="AC97" s="25">
        <f>BMG!F97</f>
        <v>9.2837000000000006E-3</v>
      </c>
      <c r="AE97" s="6"/>
      <c r="AG97" s="6"/>
      <c r="AI97" s="6"/>
      <c r="AK97" s="6"/>
      <c r="AM97" s="6"/>
      <c r="AO97" s="6"/>
      <c r="AQ97" s="6"/>
      <c r="AS97" s="6"/>
      <c r="AU97" s="6"/>
      <c r="AW97" s="6"/>
      <c r="AY97" s="6"/>
      <c r="BA97" s="6"/>
      <c r="BC97" s="6"/>
      <c r="BE97" s="6"/>
      <c r="BG97" s="6"/>
      <c r="BI97" s="6"/>
      <c r="BK97" s="6"/>
      <c r="BM97" s="6"/>
      <c r="BO97" s="6"/>
      <c r="BQ97" s="6"/>
      <c r="BS97" s="6"/>
      <c r="BU97" s="6"/>
      <c r="BW97" s="6"/>
      <c r="BY97" s="6"/>
      <c r="CA97" s="6"/>
      <c r="CC97" s="6"/>
      <c r="CE97" s="6"/>
      <c r="CG97" s="6"/>
      <c r="CI97" s="6"/>
      <c r="CK97" s="6"/>
      <c r="CM97" s="6"/>
      <c r="CO97" s="6"/>
      <c r="CQ97" s="6"/>
      <c r="CS97" s="6"/>
      <c r="CU97" s="6"/>
      <c r="CW97" s="6"/>
      <c r="CY97" s="6"/>
      <c r="DA97" s="6"/>
      <c r="DC97" s="6"/>
      <c r="DE97" s="6"/>
      <c r="DG97" s="6"/>
      <c r="DI97" s="6"/>
      <c r="DK97" s="6"/>
      <c r="DM97" s="6"/>
      <c r="DO97" s="6"/>
      <c r="DQ97" s="6"/>
      <c r="DS97" s="6"/>
      <c r="DU97" s="6"/>
      <c r="DW97" s="6"/>
      <c r="DY97" s="6"/>
      <c r="EA97" s="6"/>
      <c r="EC97" s="6"/>
      <c r="EE97" s="6"/>
      <c r="EG97" s="6"/>
      <c r="EI97" s="6"/>
      <c r="EK97" s="6"/>
      <c r="EM97" s="6"/>
      <c r="EO97" s="6"/>
      <c r="EQ97" s="6"/>
      <c r="ES97" s="6"/>
      <c r="EU97" s="6"/>
      <c r="EW97" s="6"/>
      <c r="EY97" s="6"/>
      <c r="FA97" s="6"/>
      <c r="FC97" s="6"/>
      <c r="FE97" s="6"/>
      <c r="FG97" s="6"/>
      <c r="FI97" s="6"/>
      <c r="FK97" s="6"/>
      <c r="FM97" s="6"/>
      <c r="FO97" s="6"/>
      <c r="FQ97" s="6"/>
      <c r="FS97" s="6"/>
      <c r="FU97" s="6"/>
      <c r="FW97" s="6"/>
      <c r="FY97" s="6"/>
      <c r="GA97" s="6"/>
      <c r="GC97" s="6"/>
      <c r="GE97" s="6"/>
    </row>
    <row r="98" spans="5:187">
      <c r="E98" s="421">
        <v>43131</v>
      </c>
      <c r="F98" s="25">
        <f>'Risk Factors'!F98</f>
        <v>5.1499999999999997E-2</v>
      </c>
      <c r="G98" s="25">
        <f>'Risk Factors'!G98</f>
        <v>-1.01E-2</v>
      </c>
      <c r="H98" s="25">
        <f>'Risk Factors'!H98</f>
        <v>-1.37E-2</v>
      </c>
      <c r="I98" s="25">
        <f>'Risk Factors'!I98</f>
        <v>3.2099999999999997E-2</v>
      </c>
      <c r="J98" s="25">
        <f>BMG!F98</f>
        <v>-4.5807E-3</v>
      </c>
      <c r="K98" s="25">
        <f>'Risk Factors'!J98</f>
        <v>1.1000000000000001E-3</v>
      </c>
      <c r="M98" s="421">
        <v>43131</v>
      </c>
      <c r="N98" s="25">
        <f>'Risk Factors'!F98</f>
        <v>5.1499999999999997E-2</v>
      </c>
      <c r="O98" s="25">
        <f>'Risk Factors'!M98</f>
        <v>1.226E-2</v>
      </c>
      <c r="P98" s="25">
        <f>'Risk Factors'!N98</f>
        <v>1.038E-2</v>
      </c>
      <c r="Q98" s="25">
        <f>'Risk Factors'!O98</f>
        <v>9.7999999999999997E-3</v>
      </c>
      <c r="R98" s="25">
        <f>'Risk Factors'!P98</f>
        <v>2.8600000000000001E-3</v>
      </c>
      <c r="S98" s="25">
        <f>'Risk Factors'!R98</f>
        <v>1.396E-2</v>
      </c>
      <c r="T98" s="25">
        <f>'Risk Factors'!S98</f>
        <v>1.542E-2</v>
      </c>
      <c r="U98" s="25">
        <f>BMG!F98</f>
        <v>-4.5807E-3</v>
      </c>
      <c r="V98" s="25"/>
      <c r="W98" s="421">
        <v>43131</v>
      </c>
      <c r="X98" s="25">
        <f>'Risk Factors'!F98</f>
        <v>5.1499999999999997E-2</v>
      </c>
      <c r="Y98" s="25">
        <f>'Risk Factors'!G98</f>
        <v>-1.01E-2</v>
      </c>
      <c r="Z98" s="25">
        <f>'Risk Factors'!H98</f>
        <v>-1.37E-2</v>
      </c>
      <c r="AA98" s="25">
        <f>'Risk Factors'!T98</f>
        <v>1.4319999999999999E-2</v>
      </c>
      <c r="AB98" s="25">
        <f>'Risk Factors'!U98</f>
        <v>3.5799999999999998E-3</v>
      </c>
      <c r="AC98" s="25">
        <f>BMG!F98</f>
        <v>-4.5807E-3</v>
      </c>
      <c r="AE98" s="6"/>
      <c r="AG98" s="6"/>
      <c r="AI98" s="6"/>
      <c r="AK98" s="6"/>
      <c r="AM98" s="6"/>
      <c r="AO98" s="6"/>
      <c r="AQ98" s="6"/>
      <c r="AS98" s="6"/>
      <c r="AU98" s="6"/>
      <c r="AW98" s="6"/>
      <c r="AY98" s="6"/>
      <c r="BA98" s="6"/>
      <c r="BC98" s="6"/>
      <c r="BE98" s="6"/>
      <c r="BG98" s="6"/>
      <c r="BI98" s="6"/>
      <c r="BK98" s="6"/>
      <c r="BM98" s="6"/>
      <c r="BO98" s="6"/>
      <c r="BQ98" s="6"/>
      <c r="BS98" s="6"/>
      <c r="BU98" s="6"/>
      <c r="BW98" s="6"/>
      <c r="BY98" s="6"/>
      <c r="CA98" s="6"/>
      <c r="CC98" s="6"/>
      <c r="CE98" s="6"/>
      <c r="CG98" s="6"/>
      <c r="CI98" s="6"/>
      <c r="CK98" s="6"/>
      <c r="CM98" s="6"/>
      <c r="CO98" s="6"/>
      <c r="CQ98" s="6"/>
      <c r="CS98" s="6"/>
      <c r="CU98" s="6"/>
      <c r="CW98" s="6"/>
      <c r="CY98" s="6"/>
      <c r="DA98" s="6"/>
      <c r="DC98" s="6"/>
      <c r="DE98" s="6"/>
      <c r="DG98" s="6"/>
      <c r="DI98" s="6"/>
      <c r="DK98" s="6"/>
      <c r="DM98" s="6"/>
      <c r="DO98" s="6"/>
      <c r="DQ98" s="6"/>
      <c r="DS98" s="6"/>
      <c r="DU98" s="6"/>
      <c r="DW98" s="6"/>
      <c r="DY98" s="6"/>
      <c r="EA98" s="6"/>
      <c r="EC98" s="6"/>
      <c r="EE98" s="6"/>
      <c r="EG98" s="6"/>
      <c r="EI98" s="6"/>
      <c r="EK98" s="6"/>
      <c r="EM98" s="6"/>
      <c r="EO98" s="6"/>
      <c r="EQ98" s="6"/>
      <c r="ES98" s="6"/>
      <c r="EU98" s="6"/>
      <c r="EW98" s="6"/>
      <c r="EY98" s="6"/>
      <c r="FA98" s="6"/>
      <c r="FC98" s="6"/>
      <c r="FE98" s="6"/>
      <c r="FG98" s="6"/>
      <c r="FI98" s="6"/>
      <c r="FK98" s="6"/>
      <c r="FM98" s="6"/>
      <c r="FO98" s="6"/>
      <c r="FQ98" s="6"/>
      <c r="FS98" s="6"/>
      <c r="FU98" s="6"/>
      <c r="FW98" s="6"/>
      <c r="FY98" s="6"/>
      <c r="GA98" s="6"/>
      <c r="GC98" s="6"/>
      <c r="GE98" s="6"/>
    </row>
    <row r="99" spans="5:187">
      <c r="E99" s="421">
        <v>43159</v>
      </c>
      <c r="F99" s="25">
        <f>'Risk Factors'!F99</f>
        <v>-0.04</v>
      </c>
      <c r="G99" s="25">
        <f>'Risk Factors'!G99</f>
        <v>8.3000000000000001E-3</v>
      </c>
      <c r="H99" s="25">
        <f>'Risk Factors'!H99</f>
        <v>-1.7399999999999999E-2</v>
      </c>
      <c r="I99" s="25">
        <f>'Risk Factors'!I99</f>
        <v>2.4500000000000001E-2</v>
      </c>
      <c r="J99" s="25">
        <f>BMG!F99</f>
        <v>-3.333E-3</v>
      </c>
      <c r="K99" s="25">
        <f>'Risk Factors'!J99</f>
        <v>1.1000000000000001E-3</v>
      </c>
      <c r="M99" s="421">
        <v>43159</v>
      </c>
      <c r="N99" s="25">
        <f>'Risk Factors'!F99</f>
        <v>-0.04</v>
      </c>
      <c r="O99" s="25">
        <f>'Risk Factors'!M99</f>
        <v>-8.8599999999999998E-3</v>
      </c>
      <c r="P99" s="25">
        <f>'Risk Factors'!N99</f>
        <v>-1.227E-2</v>
      </c>
      <c r="Q99" s="25">
        <f>'Risk Factors'!O99</f>
        <v>-1.507E-2</v>
      </c>
      <c r="R99" s="25">
        <f>'Risk Factors'!P99</f>
        <v>-1.8120000000000001E-2</v>
      </c>
      <c r="S99" s="25">
        <f>'Risk Factors'!R99</f>
        <v>-1.316E-2</v>
      </c>
      <c r="T99" s="25">
        <f>'Risk Factors'!S99</f>
        <v>-3.2299999999999998E-3</v>
      </c>
      <c r="U99" s="25">
        <f>BMG!F99</f>
        <v>-3.333E-3</v>
      </c>
      <c r="V99" s="25"/>
      <c r="W99" s="421">
        <v>43159</v>
      </c>
      <c r="X99" s="25">
        <f>'Risk Factors'!F99</f>
        <v>-0.04</v>
      </c>
      <c r="Y99" s="25">
        <f>'Risk Factors'!G99</f>
        <v>8.3000000000000001E-3</v>
      </c>
      <c r="Z99" s="25">
        <f>'Risk Factors'!H99</f>
        <v>-1.7399999999999999E-2</v>
      </c>
      <c r="AA99" s="25">
        <f>'Risk Factors'!T99</f>
        <v>-4.3299999999999996E-3</v>
      </c>
      <c r="AB99" s="25">
        <f>'Risk Factors'!U99</f>
        <v>-8.9000000000000017E-4</v>
      </c>
      <c r="AC99" s="25">
        <f>BMG!F99</f>
        <v>-3.333E-3</v>
      </c>
      <c r="AE99" s="6"/>
      <c r="AG99" s="6"/>
      <c r="AI99" s="6"/>
      <c r="AK99" s="6"/>
      <c r="AM99" s="6"/>
      <c r="AO99" s="6"/>
      <c r="AQ99" s="6"/>
      <c r="AS99" s="6"/>
      <c r="AU99" s="6"/>
      <c r="AW99" s="6"/>
      <c r="AY99" s="6"/>
      <c r="BA99" s="6"/>
      <c r="BC99" s="6"/>
      <c r="BE99" s="6"/>
      <c r="BG99" s="6"/>
      <c r="BI99" s="6"/>
      <c r="BK99" s="6"/>
      <c r="BM99" s="6"/>
      <c r="BO99" s="6"/>
      <c r="BQ99" s="6"/>
      <c r="BS99" s="6"/>
      <c r="BU99" s="6"/>
      <c r="BW99" s="6"/>
      <c r="BY99" s="6"/>
      <c r="CA99" s="6"/>
      <c r="CC99" s="6"/>
      <c r="CE99" s="6"/>
      <c r="CG99" s="6"/>
      <c r="CI99" s="6"/>
      <c r="CK99" s="6"/>
      <c r="CM99" s="6"/>
      <c r="CO99" s="6"/>
      <c r="CQ99" s="6"/>
      <c r="CS99" s="6"/>
      <c r="CU99" s="6"/>
      <c r="CW99" s="6"/>
      <c r="CY99" s="6"/>
      <c r="DA99" s="6"/>
      <c r="DC99" s="6"/>
      <c r="DE99" s="6"/>
      <c r="DG99" s="6"/>
      <c r="DI99" s="6"/>
      <c r="DK99" s="6"/>
      <c r="DM99" s="6"/>
      <c r="DO99" s="6"/>
      <c r="DQ99" s="6"/>
      <c r="DS99" s="6"/>
      <c r="DU99" s="6"/>
      <c r="DW99" s="6"/>
      <c r="DY99" s="6"/>
      <c r="EA99" s="6"/>
      <c r="EC99" s="6"/>
      <c r="EE99" s="6"/>
      <c r="EG99" s="6"/>
      <c r="EI99" s="6"/>
      <c r="EK99" s="6"/>
      <c r="EM99" s="6"/>
      <c r="EO99" s="6"/>
      <c r="EQ99" s="6"/>
      <c r="ES99" s="6"/>
      <c r="EU99" s="6"/>
      <c r="EW99" s="6"/>
      <c r="EY99" s="6"/>
      <c r="FA99" s="6"/>
      <c r="FC99" s="6"/>
      <c r="FE99" s="6"/>
      <c r="FG99" s="6"/>
      <c r="FI99" s="6"/>
      <c r="FK99" s="6"/>
      <c r="FM99" s="6"/>
      <c r="FO99" s="6"/>
      <c r="FQ99" s="6"/>
      <c r="FS99" s="6"/>
      <c r="FU99" s="6"/>
      <c r="FW99" s="6"/>
      <c r="FY99" s="6"/>
      <c r="GA99" s="6"/>
      <c r="GC99" s="6"/>
      <c r="GE99" s="6"/>
    </row>
    <row r="100" spans="5:187">
      <c r="E100" s="421">
        <v>43190</v>
      </c>
      <c r="F100" s="25">
        <f>'Risk Factors'!F100</f>
        <v>-1.7600000000000001E-2</v>
      </c>
      <c r="G100" s="25">
        <f>'Risk Factors'!G100</f>
        <v>1.1900000000000001E-2</v>
      </c>
      <c r="H100" s="25">
        <f>'Risk Factors'!H100</f>
        <v>-4.7000000000000002E-3</v>
      </c>
      <c r="I100" s="25">
        <f>'Risk Factors'!I100</f>
        <v>-1.09E-2</v>
      </c>
      <c r="J100" s="25">
        <f>BMG!F100</f>
        <v>1.2466400000000001E-2</v>
      </c>
      <c r="K100" s="25">
        <f>'Risk Factors'!J100</f>
        <v>1.1999999999999999E-3</v>
      </c>
      <c r="M100" s="421">
        <v>43190</v>
      </c>
      <c r="N100" s="25">
        <f>'Risk Factors'!F100</f>
        <v>-1.7600000000000001E-2</v>
      </c>
      <c r="O100" s="25">
        <f>'Risk Factors'!M100</f>
        <v>2.2899999999999999E-3</v>
      </c>
      <c r="P100" s="25">
        <f>'Risk Factors'!N100</f>
        <v>2.6900000000000001E-3</v>
      </c>
      <c r="Q100" s="25">
        <f>'Risk Factors'!O100</f>
        <v>3.4199999999999999E-3</v>
      </c>
      <c r="R100" s="25">
        <f>'Risk Factors'!P100</f>
        <v>3.3800000000000002E-3</v>
      </c>
      <c r="S100" s="25">
        <f>'Risk Factors'!R100</f>
        <v>-2.8E-3</v>
      </c>
      <c r="T100" s="25">
        <f>'Risk Factors'!S100</f>
        <v>8.4600000000000005E-3</v>
      </c>
      <c r="U100" s="25">
        <f>BMG!F100</f>
        <v>1.2466400000000001E-2</v>
      </c>
      <c r="V100" s="25"/>
      <c r="W100" s="421">
        <v>43190</v>
      </c>
      <c r="X100" s="25">
        <f>'Risk Factors'!F100</f>
        <v>-1.7600000000000001E-2</v>
      </c>
      <c r="Y100" s="25">
        <f>'Risk Factors'!G100</f>
        <v>1.1900000000000001E-2</v>
      </c>
      <c r="Z100" s="25">
        <f>'Risk Factors'!H100</f>
        <v>-4.7000000000000002E-3</v>
      </c>
      <c r="AA100" s="25">
        <f>'Risk Factors'!T100</f>
        <v>7.2600000000000008E-3</v>
      </c>
      <c r="AB100" s="25">
        <f>'Risk Factors'!U100</f>
        <v>-5.4900000000000001E-3</v>
      </c>
      <c r="AC100" s="25">
        <f>BMG!F100</f>
        <v>1.2466400000000001E-2</v>
      </c>
      <c r="AE100" s="6"/>
      <c r="AG100" s="6"/>
      <c r="AI100" s="6"/>
      <c r="AK100" s="6"/>
      <c r="AM100" s="6"/>
      <c r="AO100" s="6"/>
      <c r="AQ100" s="6"/>
      <c r="AS100" s="6"/>
      <c r="AU100" s="6"/>
      <c r="AW100" s="6"/>
      <c r="AY100" s="6"/>
      <c r="BA100" s="6"/>
      <c r="BC100" s="6"/>
      <c r="BE100" s="6"/>
      <c r="BG100" s="6"/>
      <c r="BI100" s="6"/>
      <c r="BK100" s="6"/>
      <c r="BM100" s="6"/>
      <c r="BO100" s="6"/>
      <c r="BQ100" s="6"/>
      <c r="BS100" s="6"/>
      <c r="BU100" s="6"/>
      <c r="BW100" s="6"/>
      <c r="BY100" s="6"/>
      <c r="CA100" s="6"/>
      <c r="CC100" s="6"/>
      <c r="CE100" s="6"/>
      <c r="CG100" s="6"/>
      <c r="CI100" s="6"/>
      <c r="CK100" s="6"/>
      <c r="CM100" s="6"/>
      <c r="CO100" s="6"/>
      <c r="CQ100" s="6"/>
      <c r="CS100" s="6"/>
      <c r="CU100" s="6"/>
      <c r="CW100" s="6"/>
      <c r="CY100" s="6"/>
      <c r="DA100" s="6"/>
      <c r="DC100" s="6"/>
      <c r="DE100" s="6"/>
      <c r="DG100" s="6"/>
      <c r="DI100" s="6"/>
      <c r="DK100" s="6"/>
      <c r="DM100" s="6"/>
      <c r="DO100" s="6"/>
      <c r="DQ100" s="6"/>
      <c r="DS100" s="6"/>
      <c r="DU100" s="6"/>
      <c r="DW100" s="6"/>
      <c r="DY100" s="6"/>
      <c r="EA100" s="6"/>
      <c r="EC100" s="6"/>
      <c r="EE100" s="6"/>
      <c r="EG100" s="6"/>
      <c r="EI100" s="6"/>
      <c r="EK100" s="6"/>
      <c r="EM100" s="6"/>
      <c r="EO100" s="6"/>
      <c r="EQ100" s="6"/>
      <c r="ES100" s="6"/>
      <c r="EU100" s="6"/>
      <c r="EW100" s="6"/>
      <c r="EY100" s="6"/>
      <c r="FA100" s="6"/>
      <c r="FC100" s="6"/>
      <c r="FE100" s="6"/>
      <c r="FG100" s="6"/>
      <c r="FI100" s="6"/>
      <c r="FK100" s="6"/>
      <c r="FM100" s="6"/>
      <c r="FO100" s="6"/>
      <c r="FQ100" s="6"/>
      <c r="FS100" s="6"/>
      <c r="FU100" s="6"/>
      <c r="FW100" s="6"/>
      <c r="FY100" s="6"/>
      <c r="GA100" s="6"/>
      <c r="GC100" s="6"/>
      <c r="GE100" s="6"/>
    </row>
    <row r="101" spans="5:187">
      <c r="E101" s="421">
        <v>43220</v>
      </c>
      <c r="F101" s="25">
        <f>'Risk Factors'!F101</f>
        <v>9.2999999999999992E-3</v>
      </c>
      <c r="G101" s="25">
        <f>'Risk Factors'!G101</f>
        <v>-6.4999999999999997E-3</v>
      </c>
      <c r="H101" s="25">
        <f>'Risk Factors'!H101</f>
        <v>1.8200000000000001E-2</v>
      </c>
      <c r="I101" s="25">
        <f>'Risk Factors'!I101</f>
        <v>-4.8999999999999998E-3</v>
      </c>
      <c r="J101" s="25">
        <f>BMG!F101</f>
        <v>1.2684300000000001E-2</v>
      </c>
      <c r="K101" s="25">
        <f>'Risk Factors'!J101</f>
        <v>1.4E-3</v>
      </c>
      <c r="M101" s="421">
        <v>43220</v>
      </c>
      <c r="N101" s="25">
        <f>'Risk Factors'!F101</f>
        <v>9.2999999999999992E-3</v>
      </c>
      <c r="O101" s="25">
        <f>'Risk Factors'!M101</f>
        <v>-5.3099999999999996E-3</v>
      </c>
      <c r="P101" s="25">
        <f>'Risk Factors'!N101</f>
        <v>-7.9500000000000005E-3</v>
      </c>
      <c r="Q101" s="25">
        <f>'Risk Factors'!O101</f>
        <v>-1.1209999999999999E-2</v>
      </c>
      <c r="R101" s="25">
        <f>'Risk Factors'!P101</f>
        <v>-1.248E-2</v>
      </c>
      <c r="S101" s="25">
        <f>'Risk Factors'!R101</f>
        <v>3.4000000000000002E-4</v>
      </c>
      <c r="T101" s="25">
        <f>'Risk Factors'!S101</f>
        <v>-1.6109999999999999E-2</v>
      </c>
      <c r="U101" s="25">
        <f>BMG!F101</f>
        <v>1.2684300000000001E-2</v>
      </c>
      <c r="V101" s="25"/>
      <c r="W101" s="421">
        <v>43220</v>
      </c>
      <c r="X101" s="25">
        <f>'Risk Factors'!F101</f>
        <v>9.2999999999999992E-3</v>
      </c>
      <c r="Y101" s="25">
        <f>'Risk Factors'!G101</f>
        <v>-6.4999999999999997E-3</v>
      </c>
      <c r="Z101" s="25">
        <f>'Risk Factors'!H101</f>
        <v>1.8200000000000001E-2</v>
      </c>
      <c r="AA101" s="25">
        <f>'Risk Factors'!T101</f>
        <v>-1.7509999999999998E-2</v>
      </c>
      <c r="AB101" s="25">
        <f>'Risk Factors'!U101</f>
        <v>8.2900000000000005E-3</v>
      </c>
      <c r="AC101" s="25">
        <f>BMG!F101</f>
        <v>1.2684300000000001E-2</v>
      </c>
      <c r="AE101" s="6"/>
      <c r="AG101" s="6"/>
      <c r="AI101" s="6"/>
      <c r="AK101" s="6"/>
      <c r="AM101" s="6"/>
      <c r="AO101" s="6"/>
      <c r="AQ101" s="6"/>
      <c r="AS101" s="6"/>
      <c r="AU101" s="6"/>
      <c r="AW101" s="6"/>
      <c r="AY101" s="6"/>
      <c r="BA101" s="6"/>
      <c r="BC101" s="6"/>
      <c r="BE101" s="6"/>
      <c r="BG101" s="6"/>
      <c r="BI101" s="6"/>
      <c r="BK101" s="6"/>
      <c r="BM101" s="6"/>
      <c r="BO101" s="6"/>
      <c r="BQ101" s="6"/>
      <c r="BS101" s="6"/>
      <c r="BU101" s="6"/>
      <c r="BW101" s="6"/>
      <c r="BY101" s="6"/>
      <c r="CA101" s="6"/>
      <c r="CC101" s="6"/>
      <c r="CE101" s="6"/>
      <c r="CG101" s="6"/>
      <c r="CI101" s="6"/>
      <c r="CK101" s="6"/>
      <c r="CM101" s="6"/>
      <c r="CO101" s="6"/>
      <c r="CQ101" s="6"/>
      <c r="CS101" s="6"/>
      <c r="CU101" s="6"/>
      <c r="CW101" s="6"/>
      <c r="CY101" s="6"/>
      <c r="DA101" s="6"/>
      <c r="DC101" s="6"/>
      <c r="DE101" s="6"/>
      <c r="DG101" s="6"/>
      <c r="DI101" s="6"/>
      <c r="DK101" s="6"/>
      <c r="DM101" s="6"/>
      <c r="DO101" s="6"/>
      <c r="DQ101" s="6"/>
      <c r="DS101" s="6"/>
      <c r="DU101" s="6"/>
      <c r="DW101" s="6"/>
      <c r="DY101" s="6"/>
      <c r="EA101" s="6"/>
      <c r="EC101" s="6"/>
      <c r="EE101" s="6"/>
      <c r="EG101" s="6"/>
      <c r="EI101" s="6"/>
      <c r="EK101" s="6"/>
      <c r="EM101" s="6"/>
      <c r="EO101" s="6"/>
      <c r="EQ101" s="6"/>
      <c r="ES101" s="6"/>
      <c r="EU101" s="6"/>
      <c r="EW101" s="6"/>
      <c r="EY101" s="6"/>
      <c r="FA101" s="6"/>
      <c r="FC101" s="6"/>
      <c r="FE101" s="6"/>
      <c r="FG101" s="6"/>
      <c r="FI101" s="6"/>
      <c r="FK101" s="6"/>
      <c r="FM101" s="6"/>
      <c r="FO101" s="6"/>
      <c r="FQ101" s="6"/>
      <c r="FS101" s="6"/>
      <c r="FU101" s="6"/>
      <c r="FW101" s="6"/>
      <c r="FY101" s="6"/>
      <c r="GA101" s="6"/>
      <c r="GC101" s="6"/>
      <c r="GE101" s="6"/>
    </row>
    <row r="102" spans="5:187">
      <c r="E102" s="421">
        <v>43251</v>
      </c>
      <c r="F102" s="25">
        <f>'Risk Factors'!F102</f>
        <v>4.8999999999999998E-3</v>
      </c>
      <c r="G102" s="25">
        <f>'Risk Factors'!G102</f>
        <v>1.8800000000000001E-2</v>
      </c>
      <c r="H102" s="25">
        <f>'Risk Factors'!H102</f>
        <v>-4.4499999999999998E-2</v>
      </c>
      <c r="I102" s="25">
        <f>'Risk Factors'!I102</f>
        <v>3.0700000000000002E-2</v>
      </c>
      <c r="J102" s="25">
        <f>BMG!F102</f>
        <v>1.1393E-3</v>
      </c>
      <c r="K102" s="25">
        <f>'Risk Factors'!J102</f>
        <v>1.4E-3</v>
      </c>
      <c r="M102" s="421">
        <v>43251</v>
      </c>
      <c r="N102" s="25">
        <f>'Risk Factors'!F102</f>
        <v>4.8999999999999998E-3</v>
      </c>
      <c r="O102" s="25">
        <f>'Risk Factors'!M102</f>
        <v>-7.77E-3</v>
      </c>
      <c r="P102" s="25">
        <f>'Risk Factors'!N102</f>
        <v>-9.5399999999999999E-3</v>
      </c>
      <c r="Q102" s="25">
        <f>'Risk Factors'!O102</f>
        <v>-1.1990000000000001E-2</v>
      </c>
      <c r="R102" s="25">
        <f>'Risk Factors'!P102</f>
        <v>-9.2099999999999994E-3</v>
      </c>
      <c r="S102" s="25">
        <f>'Risk Factors'!R102</f>
        <v>-1.206E-2</v>
      </c>
      <c r="T102" s="25">
        <f>'Risk Factors'!S102</f>
        <v>-8.8100000000000001E-3</v>
      </c>
      <c r="U102" s="25">
        <f>BMG!F102</f>
        <v>1.1393E-3</v>
      </c>
      <c r="V102" s="25"/>
      <c r="W102" s="421">
        <v>43251</v>
      </c>
      <c r="X102" s="25">
        <f>'Risk Factors'!F102</f>
        <v>4.8999999999999998E-3</v>
      </c>
      <c r="Y102" s="25">
        <f>'Risk Factors'!G102</f>
        <v>1.8800000000000001E-2</v>
      </c>
      <c r="Z102" s="25">
        <f>'Risk Factors'!H102</f>
        <v>-4.4499999999999998E-2</v>
      </c>
      <c r="AA102" s="25">
        <f>'Risk Factors'!T102</f>
        <v>-1.021E-2</v>
      </c>
      <c r="AB102" s="25">
        <f>'Risk Factors'!U102</f>
        <v>-2.5199999999999997E-3</v>
      </c>
      <c r="AC102" s="25">
        <f>BMG!F102</f>
        <v>1.1393E-3</v>
      </c>
      <c r="AE102" s="6"/>
      <c r="AG102" s="6"/>
      <c r="AI102" s="6"/>
      <c r="AK102" s="6"/>
      <c r="AM102" s="6"/>
      <c r="AO102" s="6"/>
      <c r="AQ102" s="6"/>
      <c r="AS102" s="6"/>
      <c r="AU102" s="6"/>
      <c r="AW102" s="6"/>
      <c r="AY102" s="6"/>
      <c r="BA102" s="6"/>
      <c r="BC102" s="6"/>
      <c r="BE102" s="6"/>
      <c r="BG102" s="6"/>
      <c r="BI102" s="6"/>
      <c r="BK102" s="6"/>
      <c r="BM102" s="6"/>
      <c r="BO102" s="6"/>
      <c r="BQ102" s="6"/>
      <c r="BS102" s="6"/>
      <c r="BU102" s="6"/>
      <c r="BW102" s="6"/>
      <c r="BY102" s="6"/>
      <c r="CA102" s="6"/>
      <c r="CC102" s="6"/>
      <c r="CE102" s="6"/>
      <c r="CG102" s="6"/>
      <c r="CI102" s="6"/>
      <c r="CK102" s="6"/>
      <c r="CM102" s="6"/>
      <c r="CO102" s="6"/>
      <c r="CQ102" s="6"/>
      <c r="CS102" s="6"/>
      <c r="CU102" s="6"/>
      <c r="CW102" s="6"/>
      <c r="CY102" s="6"/>
      <c r="DA102" s="6"/>
      <c r="DC102" s="6"/>
      <c r="DE102" s="6"/>
      <c r="DG102" s="6"/>
      <c r="DI102" s="6"/>
      <c r="DK102" s="6"/>
      <c r="DM102" s="6"/>
      <c r="DO102" s="6"/>
      <c r="DQ102" s="6"/>
      <c r="DS102" s="6"/>
      <c r="DU102" s="6"/>
      <c r="DW102" s="6"/>
      <c r="DY102" s="6"/>
      <c r="EA102" s="6"/>
      <c r="EC102" s="6"/>
      <c r="EE102" s="6"/>
      <c r="EG102" s="6"/>
      <c r="EI102" s="6"/>
      <c r="EK102" s="6"/>
      <c r="EM102" s="6"/>
      <c r="EO102" s="6"/>
      <c r="EQ102" s="6"/>
      <c r="ES102" s="6"/>
      <c r="EU102" s="6"/>
      <c r="EW102" s="6"/>
      <c r="EY102" s="6"/>
      <c r="FA102" s="6"/>
      <c r="FC102" s="6"/>
      <c r="FE102" s="6"/>
      <c r="FG102" s="6"/>
      <c r="FI102" s="6"/>
      <c r="FK102" s="6"/>
      <c r="FM102" s="6"/>
      <c r="FO102" s="6"/>
      <c r="FQ102" s="6"/>
      <c r="FS102" s="6"/>
      <c r="FU102" s="6"/>
      <c r="FW102" s="6"/>
      <c r="FY102" s="6"/>
      <c r="GA102" s="6"/>
      <c r="GC102" s="6"/>
      <c r="GE102" s="6"/>
    </row>
    <row r="103" spans="5:187">
      <c r="E103" s="421">
        <v>43281</v>
      </c>
      <c r="F103" s="25">
        <f>'Risk Factors'!F103</f>
        <v>-4.8999999999999998E-3</v>
      </c>
      <c r="G103" s="25">
        <f>'Risk Factors'!G103</f>
        <v>-7.0000000000000001E-3</v>
      </c>
      <c r="H103" s="25">
        <f>'Risk Factors'!H103</f>
        <v>-1.32E-2</v>
      </c>
      <c r="I103" s="25">
        <f>'Risk Factors'!I103</f>
        <v>-1.29E-2</v>
      </c>
      <c r="J103" s="25">
        <f>BMG!F103</f>
        <v>4.5326999999999998E-3</v>
      </c>
      <c r="K103" s="25">
        <f>'Risk Factors'!J103</f>
        <v>1.4E-3</v>
      </c>
      <c r="M103" s="421">
        <v>43281</v>
      </c>
      <c r="N103" s="25">
        <f>'Risk Factors'!F103</f>
        <v>-4.8999999999999998E-3</v>
      </c>
      <c r="O103" s="25">
        <f>'Risk Factors'!M103</f>
        <v>-1.56E-3</v>
      </c>
      <c r="P103" s="25">
        <f>'Risk Factors'!N103</f>
        <v>-2.4399999999999999E-3</v>
      </c>
      <c r="Q103" s="25">
        <f>'Risk Factors'!O103</f>
        <v>-2.7100000000000002E-3</v>
      </c>
      <c r="R103" s="25">
        <f>'Risk Factors'!P103</f>
        <v>-3.5300000000000002E-3</v>
      </c>
      <c r="S103" s="25">
        <f>'Risk Factors'!R103</f>
        <v>-1.1900000000000001E-3</v>
      </c>
      <c r="T103" s="25">
        <f>'Risk Factors'!S103</f>
        <v>-4.13E-3</v>
      </c>
      <c r="U103" s="25">
        <f>BMG!F103</f>
        <v>4.5326999999999998E-3</v>
      </c>
      <c r="V103" s="25"/>
      <c r="W103" s="421">
        <v>43281</v>
      </c>
      <c r="X103" s="25">
        <f>'Risk Factors'!F103</f>
        <v>-4.8999999999999998E-3</v>
      </c>
      <c r="Y103" s="25">
        <f>'Risk Factors'!G103</f>
        <v>-7.0000000000000001E-3</v>
      </c>
      <c r="Z103" s="25">
        <f>'Risk Factors'!H103</f>
        <v>-1.32E-2</v>
      </c>
      <c r="AA103" s="25">
        <f>'Risk Factors'!T103</f>
        <v>-5.5300000000000002E-3</v>
      </c>
      <c r="AB103" s="25">
        <f>'Risk Factors'!U103</f>
        <v>1.2499999999999998E-3</v>
      </c>
      <c r="AC103" s="25">
        <f>BMG!F103</f>
        <v>4.5326999999999998E-3</v>
      </c>
      <c r="AE103" s="6"/>
      <c r="AG103" s="6"/>
      <c r="AI103" s="6"/>
      <c r="AK103" s="6"/>
      <c r="AM103" s="6"/>
      <c r="AO103" s="6"/>
      <c r="AQ103" s="6"/>
      <c r="AS103" s="6"/>
      <c r="AU103" s="6"/>
      <c r="AW103" s="6"/>
      <c r="AY103" s="6"/>
      <c r="BA103" s="6"/>
      <c r="BC103" s="6"/>
      <c r="BE103" s="6"/>
      <c r="BG103" s="6"/>
      <c r="BI103" s="6"/>
      <c r="BK103" s="6"/>
      <c r="BM103" s="6"/>
      <c r="BO103" s="6"/>
      <c r="BQ103" s="6"/>
      <c r="BS103" s="6"/>
      <c r="BU103" s="6"/>
      <c r="BW103" s="6"/>
      <c r="BY103" s="6"/>
      <c r="CA103" s="6"/>
      <c r="CC103" s="6"/>
      <c r="CE103" s="6"/>
      <c r="CG103" s="6"/>
      <c r="CI103" s="6"/>
      <c r="CK103" s="6"/>
      <c r="CM103" s="6"/>
      <c r="CO103" s="6"/>
      <c r="CQ103" s="6"/>
      <c r="CS103" s="6"/>
      <c r="CU103" s="6"/>
      <c r="CW103" s="6"/>
      <c r="CY103" s="6"/>
      <c r="DA103" s="6"/>
      <c r="DC103" s="6"/>
      <c r="DE103" s="6"/>
      <c r="DG103" s="6"/>
      <c r="DI103" s="6"/>
      <c r="DK103" s="6"/>
      <c r="DM103" s="6"/>
      <c r="DO103" s="6"/>
      <c r="DQ103" s="6"/>
      <c r="DS103" s="6"/>
      <c r="DU103" s="6"/>
      <c r="DW103" s="6"/>
      <c r="DY103" s="6"/>
      <c r="EA103" s="6"/>
      <c r="EC103" s="6"/>
      <c r="EE103" s="6"/>
      <c r="EG103" s="6"/>
      <c r="EI103" s="6"/>
      <c r="EK103" s="6"/>
      <c r="EM103" s="6"/>
      <c r="EO103" s="6"/>
      <c r="EQ103" s="6"/>
      <c r="ES103" s="6"/>
      <c r="EU103" s="6"/>
      <c r="EW103" s="6"/>
      <c r="EY103" s="6"/>
      <c r="FA103" s="6"/>
      <c r="FC103" s="6"/>
      <c r="FE103" s="6"/>
      <c r="FG103" s="6"/>
      <c r="FI103" s="6"/>
      <c r="FK103" s="6"/>
      <c r="FM103" s="6"/>
      <c r="FO103" s="6"/>
      <c r="FQ103" s="6"/>
      <c r="FS103" s="6"/>
      <c r="FU103" s="6"/>
      <c r="FW103" s="6"/>
      <c r="FY103" s="6"/>
      <c r="GA103" s="6"/>
      <c r="GC103" s="6"/>
      <c r="GE103" s="6"/>
    </row>
    <row r="104" spans="5:187">
      <c r="E104" s="421">
        <v>43312</v>
      </c>
      <c r="F104" s="25">
        <f>'Risk Factors'!F104</f>
        <v>2.53E-2</v>
      </c>
      <c r="G104" s="25">
        <f>'Risk Factors'!G104</f>
        <v>-2.5600000000000001E-2</v>
      </c>
      <c r="H104" s="25">
        <f>'Risk Factors'!H104</f>
        <v>1.0200000000000001E-2</v>
      </c>
      <c r="I104" s="25">
        <f>'Risk Factors'!I104</f>
        <v>-1.6E-2</v>
      </c>
      <c r="J104" s="25">
        <f>BMG!F104</f>
        <v>-1.1169500000000001E-2</v>
      </c>
      <c r="K104" s="25">
        <f>'Risk Factors'!J104</f>
        <v>1.6000000000000001E-3</v>
      </c>
      <c r="M104" s="421">
        <v>43312</v>
      </c>
      <c r="N104" s="25">
        <f>'Risk Factors'!F104</f>
        <v>2.53E-2</v>
      </c>
      <c r="O104" s="25">
        <f>'Risk Factors'!M104</f>
        <v>2.3800000000000002E-3</v>
      </c>
      <c r="P104" s="25">
        <f>'Risk Factors'!N104</f>
        <v>3.2499999999999999E-3</v>
      </c>
      <c r="Q104" s="25">
        <f>'Risk Factors'!O104</f>
        <v>4.7499999999999999E-3</v>
      </c>
      <c r="R104" s="25">
        <f>'Risk Factors'!P104</f>
        <v>6.8300000000000001E-3</v>
      </c>
      <c r="S104" s="25">
        <f>'Risk Factors'!R104</f>
        <v>1.387E-2</v>
      </c>
      <c r="T104" s="25">
        <f>'Risk Factors'!S104</f>
        <v>-3.7100000000000002E-3</v>
      </c>
      <c r="U104" s="25">
        <f>BMG!F104</f>
        <v>-1.1169500000000001E-2</v>
      </c>
      <c r="V104" s="25"/>
      <c r="W104" s="421">
        <v>43312</v>
      </c>
      <c r="X104" s="25">
        <f>'Risk Factors'!F104</f>
        <v>2.53E-2</v>
      </c>
      <c r="Y104" s="25">
        <f>'Risk Factors'!G104</f>
        <v>-2.5600000000000001E-2</v>
      </c>
      <c r="Z104" s="25">
        <f>'Risk Factors'!H104</f>
        <v>1.0200000000000001E-2</v>
      </c>
      <c r="AA104" s="25">
        <f>'Risk Factors'!T104</f>
        <v>-5.3100000000000005E-3</v>
      </c>
      <c r="AB104" s="25">
        <f>'Risk Factors'!U104</f>
        <v>1.0620000000000001E-2</v>
      </c>
      <c r="AC104" s="25">
        <f>BMG!F104</f>
        <v>-1.1169500000000001E-2</v>
      </c>
      <c r="AE104" s="6"/>
      <c r="AG104" s="6"/>
      <c r="AI104" s="6"/>
      <c r="AK104" s="6"/>
      <c r="AM104" s="6"/>
      <c r="AO104" s="6"/>
      <c r="AQ104" s="6"/>
      <c r="AS104" s="6"/>
      <c r="AU104" s="6"/>
      <c r="AW104" s="6"/>
      <c r="AY104" s="6"/>
      <c r="BA104" s="6"/>
      <c r="BC104" s="6"/>
      <c r="BE104" s="6"/>
      <c r="BG104" s="6"/>
      <c r="BI104" s="6"/>
      <c r="BK104" s="6"/>
      <c r="BM104" s="6"/>
      <c r="BO104" s="6"/>
      <c r="BQ104" s="6"/>
      <c r="BS104" s="6"/>
      <c r="BU104" s="6"/>
      <c r="BW104" s="6"/>
      <c r="BY104" s="6"/>
      <c r="CA104" s="6"/>
      <c r="CC104" s="6"/>
      <c r="CE104" s="6"/>
      <c r="CG104" s="6"/>
      <c r="CI104" s="6"/>
      <c r="CK104" s="6"/>
      <c r="CM104" s="6"/>
      <c r="CO104" s="6"/>
      <c r="CQ104" s="6"/>
      <c r="CS104" s="6"/>
      <c r="CU104" s="6"/>
      <c r="CW104" s="6"/>
      <c r="CY104" s="6"/>
      <c r="DA104" s="6"/>
      <c r="DC104" s="6"/>
      <c r="DE104" s="6"/>
      <c r="DG104" s="6"/>
      <c r="DI104" s="6"/>
      <c r="DK104" s="6"/>
      <c r="DM104" s="6"/>
      <c r="DO104" s="6"/>
      <c r="DQ104" s="6"/>
      <c r="DS104" s="6"/>
      <c r="DU104" s="6"/>
      <c r="DW104" s="6"/>
      <c r="DY104" s="6"/>
      <c r="EA104" s="6"/>
      <c r="EC104" s="6"/>
      <c r="EE104" s="6"/>
      <c r="EG104" s="6"/>
      <c r="EI104" s="6"/>
      <c r="EK104" s="6"/>
      <c r="EM104" s="6"/>
      <c r="EO104" s="6"/>
      <c r="EQ104" s="6"/>
      <c r="ES104" s="6"/>
      <c r="EU104" s="6"/>
      <c r="EW104" s="6"/>
      <c r="EY104" s="6"/>
      <c r="FA104" s="6"/>
      <c r="FC104" s="6"/>
      <c r="FE104" s="6"/>
      <c r="FG104" s="6"/>
      <c r="FI104" s="6"/>
      <c r="FK104" s="6"/>
      <c r="FM104" s="6"/>
      <c r="FO104" s="6"/>
      <c r="FQ104" s="6"/>
      <c r="FS104" s="6"/>
      <c r="FU104" s="6"/>
      <c r="FW104" s="6"/>
      <c r="FY104" s="6"/>
      <c r="GA104" s="6"/>
      <c r="GC104" s="6"/>
      <c r="GE104" s="6"/>
    </row>
    <row r="105" spans="5:187">
      <c r="E105" s="421">
        <v>43343</v>
      </c>
      <c r="F105" s="25">
        <f>'Risk Factors'!F105</f>
        <v>8.6999999999999994E-3</v>
      </c>
      <c r="G105" s="25">
        <f>'Risk Factors'!G105</f>
        <v>-3.8E-3</v>
      </c>
      <c r="H105" s="25">
        <f>'Risk Factors'!H105</f>
        <v>-4.0899999999999999E-2</v>
      </c>
      <c r="I105" s="25">
        <f>'Risk Factors'!I105</f>
        <v>3.4799999999999998E-2</v>
      </c>
      <c r="J105" s="25">
        <f>BMG!F105</f>
        <v>-2.3355999999999998E-2</v>
      </c>
      <c r="K105" s="25">
        <f>'Risk Factors'!J105</f>
        <v>1.6000000000000001E-3</v>
      </c>
      <c r="M105" s="421">
        <v>43343</v>
      </c>
      <c r="N105" s="25">
        <f>'Risk Factors'!F105</f>
        <v>8.6999999999999994E-3</v>
      </c>
      <c r="O105" s="25">
        <f>'Risk Factors'!M105</f>
        <v>9.8999999999999999E-4</v>
      </c>
      <c r="P105" s="25">
        <f>'Risk Factors'!N105</f>
        <v>1.8799999999999999E-3</v>
      </c>
      <c r="Q105" s="25">
        <f>'Risk Factors'!O105</f>
        <v>2.2000000000000001E-3</v>
      </c>
      <c r="R105" s="25">
        <f>'Risk Factors'!P105</f>
        <v>2.8E-3</v>
      </c>
      <c r="S105" s="25">
        <f>'Risk Factors'!R105</f>
        <v>-1.8E-3</v>
      </c>
      <c r="T105" s="25">
        <f>'Risk Factors'!S105</f>
        <v>9.7000000000000005E-4</v>
      </c>
      <c r="U105" s="25">
        <f>BMG!F105</f>
        <v>-2.3355999999999998E-2</v>
      </c>
      <c r="V105" s="25"/>
      <c r="W105" s="421">
        <v>43343</v>
      </c>
      <c r="X105" s="25">
        <f>'Risk Factors'!F105</f>
        <v>8.6999999999999994E-3</v>
      </c>
      <c r="Y105" s="25">
        <f>'Risk Factors'!G105</f>
        <v>-3.8E-3</v>
      </c>
      <c r="Z105" s="25">
        <f>'Risk Factors'!H105</f>
        <v>-4.0899999999999999E-2</v>
      </c>
      <c r="AA105" s="25">
        <f>'Risk Factors'!T105</f>
        <v>-6.3000000000000003E-4</v>
      </c>
      <c r="AB105" s="25">
        <f>'Risk Factors'!U105</f>
        <v>-3.6800000000000001E-3</v>
      </c>
      <c r="AC105" s="25">
        <f>BMG!F105</f>
        <v>-2.3355999999999998E-2</v>
      </c>
      <c r="AE105" s="6"/>
      <c r="AG105" s="6"/>
      <c r="AI105" s="6"/>
      <c r="AK105" s="6"/>
      <c r="AM105" s="6"/>
      <c r="AO105" s="6"/>
      <c r="AQ105" s="6"/>
      <c r="AS105" s="6"/>
      <c r="AU105" s="6"/>
      <c r="AW105" s="6"/>
      <c r="AY105" s="6"/>
      <c r="BA105" s="6"/>
      <c r="BC105" s="6"/>
      <c r="BE105" s="6"/>
      <c r="BG105" s="6"/>
      <c r="BI105" s="6"/>
      <c r="BK105" s="6"/>
      <c r="BM105" s="6"/>
      <c r="BO105" s="6"/>
      <c r="BQ105" s="6"/>
      <c r="BS105" s="6"/>
      <c r="BU105" s="6"/>
      <c r="BW105" s="6"/>
      <c r="BY105" s="6"/>
      <c r="CA105" s="6"/>
      <c r="CC105" s="6"/>
      <c r="CE105" s="6"/>
      <c r="CG105" s="6"/>
      <c r="CI105" s="6"/>
      <c r="CK105" s="6"/>
      <c r="CM105" s="6"/>
      <c r="CO105" s="6"/>
      <c r="CQ105" s="6"/>
      <c r="CS105" s="6"/>
      <c r="CU105" s="6"/>
      <c r="CW105" s="6"/>
      <c r="CY105" s="6"/>
      <c r="DA105" s="6"/>
      <c r="DC105" s="6"/>
      <c r="DE105" s="6"/>
      <c r="DG105" s="6"/>
      <c r="DI105" s="6"/>
      <c r="DK105" s="6"/>
      <c r="DM105" s="6"/>
      <c r="DO105" s="6"/>
      <c r="DQ105" s="6"/>
      <c r="DS105" s="6"/>
      <c r="DU105" s="6"/>
      <c r="DW105" s="6"/>
      <c r="DY105" s="6"/>
      <c r="EA105" s="6"/>
      <c r="EC105" s="6"/>
      <c r="EE105" s="6"/>
      <c r="EG105" s="6"/>
      <c r="EI105" s="6"/>
      <c r="EK105" s="6"/>
      <c r="EM105" s="6"/>
      <c r="EO105" s="6"/>
      <c r="EQ105" s="6"/>
      <c r="ES105" s="6"/>
      <c r="EU105" s="6"/>
      <c r="EW105" s="6"/>
      <c r="EY105" s="6"/>
      <c r="FA105" s="6"/>
      <c r="FC105" s="6"/>
      <c r="FE105" s="6"/>
      <c r="FG105" s="6"/>
      <c r="FI105" s="6"/>
      <c r="FK105" s="6"/>
      <c r="FM105" s="6"/>
      <c r="FO105" s="6"/>
      <c r="FQ105" s="6"/>
      <c r="FS105" s="6"/>
      <c r="FU105" s="6"/>
      <c r="FW105" s="6"/>
      <c r="FY105" s="6"/>
      <c r="GA105" s="6"/>
      <c r="GC105" s="6"/>
      <c r="GE105" s="6"/>
    </row>
    <row r="106" spans="5:187">
      <c r="E106" s="421">
        <v>43373</v>
      </c>
      <c r="F106" s="25">
        <f>'Risk Factors'!F106</f>
        <v>3.2000000000000002E-3</v>
      </c>
      <c r="G106" s="25">
        <f>'Risk Factors'!G106</f>
        <v>-1.4999999999999999E-2</v>
      </c>
      <c r="H106" s="25">
        <f>'Risk Factors'!H106</f>
        <v>3.0999999999999999E-3</v>
      </c>
      <c r="I106" s="25">
        <f>'Risk Factors'!I106</f>
        <v>6.0000000000000001E-3</v>
      </c>
      <c r="J106" s="25">
        <f>BMG!F106</f>
        <v>-2.8105999999999999E-3</v>
      </c>
      <c r="K106" s="25">
        <f>'Risk Factors'!J106</f>
        <v>1.5E-3</v>
      </c>
      <c r="M106" s="421">
        <v>43373</v>
      </c>
      <c r="N106" s="25">
        <f>'Risk Factors'!F106</f>
        <v>3.2000000000000002E-3</v>
      </c>
      <c r="O106" s="25">
        <f>'Risk Factors'!M106</f>
        <v>-5.0000000000000002E-5</v>
      </c>
      <c r="P106" s="25">
        <f>'Risk Factors'!N106</f>
        <v>-2.2300000000000002E-3</v>
      </c>
      <c r="Q106" s="25">
        <f>'Risk Factors'!O106</f>
        <v>-3.9399999999999999E-3</v>
      </c>
      <c r="R106" s="25">
        <f>'Risk Factors'!P106</f>
        <v>-5.5399999999999998E-3</v>
      </c>
      <c r="S106" s="25">
        <f>'Risk Factors'!R106</f>
        <v>8.1600000000000006E-3</v>
      </c>
      <c r="T106" s="25">
        <f>'Risk Factors'!S106</f>
        <v>-8.9099999999999995E-3</v>
      </c>
      <c r="U106" s="25">
        <f>BMG!F106</f>
        <v>-2.8105999999999999E-3</v>
      </c>
      <c r="V106" s="25"/>
      <c r="W106" s="421">
        <v>43373</v>
      </c>
      <c r="X106" s="25">
        <f>'Risk Factors'!F106</f>
        <v>3.2000000000000002E-3</v>
      </c>
      <c r="Y106" s="25">
        <f>'Risk Factors'!G106</f>
        <v>-1.4999999999999999E-2</v>
      </c>
      <c r="Z106" s="25">
        <f>'Risk Factors'!H106</f>
        <v>3.0999999999999999E-3</v>
      </c>
      <c r="AA106" s="25">
        <f>'Risk Factors'!T106</f>
        <v>-1.0409999999999999E-2</v>
      </c>
      <c r="AB106" s="25">
        <f>'Risk Factors'!U106</f>
        <v>1.039E-2</v>
      </c>
      <c r="AC106" s="25">
        <f>BMG!F106</f>
        <v>-2.8105999999999999E-3</v>
      </c>
      <c r="AE106" s="6"/>
      <c r="AG106" s="6"/>
      <c r="AI106" s="6"/>
      <c r="AK106" s="6"/>
      <c r="AM106" s="6"/>
      <c r="AO106" s="6"/>
      <c r="AQ106" s="6"/>
      <c r="AS106" s="6"/>
      <c r="AU106" s="6"/>
      <c r="AW106" s="6"/>
      <c r="AY106" s="6"/>
      <c r="BA106" s="6"/>
      <c r="BC106" s="6"/>
      <c r="BE106" s="6"/>
      <c r="BG106" s="6"/>
      <c r="BI106" s="6"/>
      <c r="BK106" s="6"/>
      <c r="BM106" s="6"/>
      <c r="BO106" s="6"/>
      <c r="BQ106" s="6"/>
      <c r="BS106" s="6"/>
      <c r="BU106" s="6"/>
      <c r="BW106" s="6"/>
      <c r="BY106" s="6"/>
      <c r="CA106" s="6"/>
      <c r="CC106" s="6"/>
      <c r="CE106" s="6"/>
      <c r="CG106" s="6"/>
      <c r="CI106" s="6"/>
      <c r="CK106" s="6"/>
      <c r="CM106" s="6"/>
      <c r="CO106" s="6"/>
      <c r="CQ106" s="6"/>
      <c r="CS106" s="6"/>
      <c r="CU106" s="6"/>
      <c r="CW106" s="6"/>
      <c r="CY106" s="6"/>
      <c r="DA106" s="6"/>
      <c r="DC106" s="6"/>
      <c r="DE106" s="6"/>
      <c r="DG106" s="6"/>
      <c r="DI106" s="6"/>
      <c r="DK106" s="6"/>
      <c r="DM106" s="6"/>
      <c r="DO106" s="6"/>
      <c r="DQ106" s="6"/>
      <c r="DS106" s="6"/>
      <c r="DU106" s="6"/>
      <c r="DW106" s="6"/>
      <c r="DY106" s="6"/>
      <c r="EA106" s="6"/>
      <c r="EC106" s="6"/>
      <c r="EE106" s="6"/>
      <c r="EG106" s="6"/>
      <c r="EI106" s="6"/>
      <c r="EK106" s="6"/>
      <c r="EM106" s="6"/>
      <c r="EO106" s="6"/>
      <c r="EQ106" s="6"/>
      <c r="ES106" s="6"/>
      <c r="EU106" s="6"/>
      <c r="EW106" s="6"/>
      <c r="EY106" s="6"/>
      <c r="FA106" s="6"/>
      <c r="FC106" s="6"/>
      <c r="FE106" s="6"/>
      <c r="FG106" s="6"/>
      <c r="FI106" s="6"/>
      <c r="FK106" s="6"/>
      <c r="FM106" s="6"/>
      <c r="FO106" s="6"/>
      <c r="FQ106" s="6"/>
      <c r="FS106" s="6"/>
      <c r="FU106" s="6"/>
      <c r="FW106" s="6"/>
      <c r="FY106" s="6"/>
      <c r="GA106" s="6"/>
      <c r="GC106" s="6"/>
      <c r="GE106" s="6"/>
    </row>
    <row r="107" spans="5:187">
      <c r="E107" s="421">
        <v>43404</v>
      </c>
      <c r="F107" s="25">
        <f>'Risk Factors'!F107</f>
        <v>-8.1900000000000001E-2</v>
      </c>
      <c r="G107" s="25">
        <f>'Risk Factors'!G107</f>
        <v>-2.5100000000000001E-2</v>
      </c>
      <c r="H107" s="25">
        <f>'Risk Factors'!H107</f>
        <v>2.3900000000000001E-2</v>
      </c>
      <c r="I107" s="25">
        <f>'Risk Factors'!I107</f>
        <v>-2.4799999999999999E-2</v>
      </c>
      <c r="J107" s="25">
        <f>BMG!F107</f>
        <v>-5.9461999999999996E-3</v>
      </c>
      <c r="K107" s="25">
        <f>'Risk Factors'!J107</f>
        <v>1.9E-3</v>
      </c>
      <c r="M107" s="421">
        <v>43404</v>
      </c>
      <c r="N107" s="25">
        <f>'Risk Factors'!F107</f>
        <v>-8.1900000000000001E-2</v>
      </c>
      <c r="O107" s="25">
        <f>'Risk Factors'!M107</f>
        <v>-7.4099999999999999E-3</v>
      </c>
      <c r="P107" s="25">
        <f>'Risk Factors'!N107</f>
        <v>-1.065E-2</v>
      </c>
      <c r="Q107" s="25">
        <f>'Risk Factors'!O107</f>
        <v>-1.3849999999999999E-2</v>
      </c>
      <c r="R107" s="25">
        <f>'Risk Factors'!P107</f>
        <v>-1.609E-2</v>
      </c>
      <c r="S107" s="25">
        <f>'Risk Factors'!R107</f>
        <v>-1.7469999999999999E-2</v>
      </c>
      <c r="T107" s="25">
        <f>'Risk Factors'!S107</f>
        <v>-5.5500000000000002E-3</v>
      </c>
      <c r="U107" s="25">
        <f>BMG!F107</f>
        <v>-5.9461999999999996E-3</v>
      </c>
      <c r="V107" s="25"/>
      <c r="W107" s="421">
        <v>43404</v>
      </c>
      <c r="X107" s="25">
        <f>'Risk Factors'!F107</f>
        <v>-8.1900000000000001E-2</v>
      </c>
      <c r="Y107" s="25">
        <f>'Risk Factors'!G107</f>
        <v>-2.5100000000000001E-2</v>
      </c>
      <c r="Z107" s="25">
        <f>'Risk Factors'!H107</f>
        <v>2.3900000000000001E-2</v>
      </c>
      <c r="AA107" s="25">
        <f>'Risk Factors'!T107</f>
        <v>-7.45E-3</v>
      </c>
      <c r="AB107" s="25">
        <f>'Risk Factors'!U107</f>
        <v>-6.8199999999999997E-3</v>
      </c>
      <c r="AC107" s="25">
        <f>BMG!F107</f>
        <v>-5.9461999999999996E-3</v>
      </c>
      <c r="AE107" s="6"/>
      <c r="AG107" s="6"/>
      <c r="AI107" s="6"/>
      <c r="AK107" s="6"/>
      <c r="AM107" s="6"/>
      <c r="AO107" s="6"/>
      <c r="AQ107" s="6"/>
      <c r="AS107" s="6"/>
      <c r="AU107" s="6"/>
      <c r="AW107" s="6"/>
      <c r="AY107" s="6"/>
      <c r="BA107" s="6"/>
      <c r="BC107" s="6"/>
      <c r="BE107" s="6"/>
      <c r="BG107" s="6"/>
      <c r="BI107" s="6"/>
      <c r="BK107" s="6"/>
      <c r="BM107" s="6"/>
      <c r="BO107" s="6"/>
      <c r="BQ107" s="6"/>
      <c r="BS107" s="6"/>
      <c r="BU107" s="6"/>
      <c r="BW107" s="6"/>
      <c r="BY107" s="6"/>
      <c r="CA107" s="6"/>
      <c r="CC107" s="6"/>
      <c r="CE107" s="6"/>
      <c r="CG107" s="6"/>
      <c r="CI107" s="6"/>
      <c r="CK107" s="6"/>
      <c r="CM107" s="6"/>
      <c r="CO107" s="6"/>
      <c r="CQ107" s="6"/>
      <c r="CS107" s="6"/>
      <c r="CU107" s="6"/>
      <c r="CW107" s="6"/>
      <c r="CY107" s="6"/>
      <c r="DA107" s="6"/>
      <c r="DC107" s="6"/>
      <c r="DE107" s="6"/>
      <c r="DG107" s="6"/>
      <c r="DI107" s="6"/>
      <c r="DK107" s="6"/>
      <c r="DM107" s="6"/>
      <c r="DO107" s="6"/>
      <c r="DQ107" s="6"/>
      <c r="DS107" s="6"/>
      <c r="DU107" s="6"/>
      <c r="DW107" s="6"/>
      <c r="DY107" s="6"/>
      <c r="EA107" s="6"/>
      <c r="EC107" s="6"/>
      <c r="EE107" s="6"/>
      <c r="EG107" s="6"/>
      <c r="EI107" s="6"/>
      <c r="EK107" s="6"/>
      <c r="EM107" s="6"/>
      <c r="EO107" s="6"/>
      <c r="EQ107" s="6"/>
      <c r="ES107" s="6"/>
      <c r="EU107" s="6"/>
      <c r="EW107" s="6"/>
      <c r="EY107" s="6"/>
      <c r="FA107" s="6"/>
      <c r="FC107" s="6"/>
      <c r="FE107" s="6"/>
      <c r="FG107" s="6"/>
      <c r="FI107" s="6"/>
      <c r="FK107" s="6"/>
      <c r="FM107" s="6"/>
      <c r="FO107" s="6"/>
      <c r="FQ107" s="6"/>
      <c r="FS107" s="6"/>
      <c r="FU107" s="6"/>
      <c r="FW107" s="6"/>
      <c r="FY107" s="6"/>
      <c r="GA107" s="6"/>
      <c r="GC107" s="6"/>
      <c r="GE107" s="6"/>
    </row>
    <row r="108" spans="5:187">
      <c r="E108" s="421">
        <v>43434</v>
      </c>
      <c r="F108" s="25">
        <f>'Risk Factors'!F108</f>
        <v>8.8000000000000005E-3</v>
      </c>
      <c r="G108" s="25">
        <f>'Risk Factors'!G108</f>
        <v>-5.7000000000000002E-3</v>
      </c>
      <c r="H108" s="25">
        <f>'Risk Factors'!H108</f>
        <v>-1.32E-2</v>
      </c>
      <c r="I108" s="25">
        <f>'Risk Factors'!I108</f>
        <v>-1.5299999999999999E-2</v>
      </c>
      <c r="J108" s="25">
        <f>BMG!F108</f>
        <v>2.9488000000000001E-3</v>
      </c>
      <c r="K108" s="25">
        <f>'Risk Factors'!J108</f>
        <v>1.8E-3</v>
      </c>
      <c r="M108" s="421">
        <v>43434</v>
      </c>
      <c r="N108" s="25">
        <f>'Risk Factors'!F108</f>
        <v>8.8000000000000005E-3</v>
      </c>
      <c r="O108" s="25">
        <f>'Risk Factors'!M108</f>
        <v>-7.2999999999999996E-4</v>
      </c>
      <c r="P108" s="25">
        <f>'Risk Factors'!N108</f>
        <v>-2.1199999999999999E-3</v>
      </c>
      <c r="Q108" s="25">
        <f>'Risk Factors'!O108</f>
        <v>-3.3899999999999998E-3</v>
      </c>
      <c r="R108" s="25">
        <f>'Risk Factors'!P108</f>
        <v>-3.1700000000000001E-3</v>
      </c>
      <c r="S108" s="25">
        <f>'Risk Factors'!R108</f>
        <v>-1.013E-2</v>
      </c>
      <c r="T108" s="25">
        <f>'Risk Factors'!S108</f>
        <v>3.3800000000000002E-3</v>
      </c>
      <c r="U108" s="25">
        <f>BMG!F108</f>
        <v>2.9488000000000001E-3</v>
      </c>
      <c r="V108" s="25"/>
      <c r="W108" s="421">
        <v>43434</v>
      </c>
      <c r="X108" s="25">
        <f>'Risk Factors'!F108</f>
        <v>8.8000000000000005E-3</v>
      </c>
      <c r="Y108" s="25">
        <f>'Risk Factors'!G108</f>
        <v>-5.7000000000000002E-3</v>
      </c>
      <c r="Z108" s="25">
        <f>'Risk Factors'!H108</f>
        <v>-1.32E-2</v>
      </c>
      <c r="AA108" s="25">
        <f>'Risk Factors'!T108</f>
        <v>1.5800000000000002E-3</v>
      </c>
      <c r="AB108" s="25">
        <f>'Risk Factors'!U108</f>
        <v>-8.0099999999999998E-3</v>
      </c>
      <c r="AC108" s="25">
        <f>BMG!F108</f>
        <v>2.9488000000000001E-3</v>
      </c>
      <c r="AE108" s="6"/>
      <c r="AG108" s="6"/>
      <c r="AI108" s="6"/>
      <c r="AK108" s="6"/>
      <c r="AM108" s="6"/>
      <c r="AO108" s="6"/>
      <c r="AQ108" s="6"/>
      <c r="AS108" s="6"/>
      <c r="AU108" s="6"/>
      <c r="AW108" s="6"/>
      <c r="AY108" s="6"/>
      <c r="BA108" s="6"/>
      <c r="BC108" s="6"/>
      <c r="BE108" s="6"/>
      <c r="BG108" s="6"/>
      <c r="BI108" s="6"/>
      <c r="BK108" s="6"/>
      <c r="BM108" s="6"/>
      <c r="BO108" s="6"/>
      <c r="BQ108" s="6"/>
      <c r="BS108" s="6"/>
      <c r="BU108" s="6"/>
      <c r="BW108" s="6"/>
      <c r="BY108" s="6"/>
      <c r="CA108" s="6"/>
      <c r="CC108" s="6"/>
      <c r="CE108" s="6"/>
      <c r="CG108" s="6"/>
      <c r="CI108" s="6"/>
      <c r="CK108" s="6"/>
      <c r="CM108" s="6"/>
      <c r="CO108" s="6"/>
      <c r="CQ108" s="6"/>
      <c r="CS108" s="6"/>
      <c r="CU108" s="6"/>
      <c r="CW108" s="6"/>
      <c r="CY108" s="6"/>
      <c r="DA108" s="6"/>
      <c r="DC108" s="6"/>
      <c r="DE108" s="6"/>
      <c r="DG108" s="6"/>
      <c r="DI108" s="6"/>
      <c r="DK108" s="6"/>
      <c r="DM108" s="6"/>
      <c r="DO108" s="6"/>
      <c r="DQ108" s="6"/>
      <c r="DS108" s="6"/>
      <c r="DU108" s="6"/>
      <c r="DW108" s="6"/>
      <c r="DY108" s="6"/>
      <c r="EA108" s="6"/>
      <c r="EC108" s="6"/>
      <c r="EE108" s="6"/>
      <c r="EG108" s="6"/>
      <c r="EI108" s="6"/>
      <c r="EK108" s="6"/>
      <c r="EM108" s="6"/>
      <c r="EO108" s="6"/>
      <c r="EQ108" s="6"/>
      <c r="ES108" s="6"/>
      <c r="EU108" s="6"/>
      <c r="EW108" s="6"/>
      <c r="EY108" s="6"/>
      <c r="FA108" s="6"/>
      <c r="FC108" s="6"/>
      <c r="FE108" s="6"/>
      <c r="FG108" s="6"/>
      <c r="FI108" s="6"/>
      <c r="FK108" s="6"/>
      <c r="FM108" s="6"/>
      <c r="FO108" s="6"/>
      <c r="FQ108" s="6"/>
      <c r="FS108" s="6"/>
      <c r="FU108" s="6"/>
      <c r="FW108" s="6"/>
      <c r="FY108" s="6"/>
      <c r="GA108" s="6"/>
      <c r="GC108" s="6"/>
      <c r="GE108" s="6"/>
    </row>
    <row r="109" spans="5:187">
      <c r="E109" s="421">
        <v>43465</v>
      </c>
      <c r="F109" s="25">
        <f>'Risk Factors'!F109</f>
        <v>-7.6799999999999993E-2</v>
      </c>
      <c r="G109" s="25">
        <f>'Risk Factors'!G109</f>
        <v>-1.01E-2</v>
      </c>
      <c r="H109" s="25">
        <f>'Risk Factors'!H109</f>
        <v>7.0000000000000001E-3</v>
      </c>
      <c r="I109" s="25">
        <f>'Risk Factors'!I109</f>
        <v>1.4999999999999999E-2</v>
      </c>
      <c r="J109" s="25">
        <f>BMG!F109</f>
        <v>1.6858399999999999E-2</v>
      </c>
      <c r="K109" s="25">
        <f>'Risk Factors'!J109</f>
        <v>1.9E-3</v>
      </c>
      <c r="M109" s="421">
        <v>43465</v>
      </c>
      <c r="N109" s="25">
        <f>'Risk Factors'!F109</f>
        <v>-7.6799999999999993E-2</v>
      </c>
      <c r="O109" s="25">
        <f>'Risk Factors'!M109</f>
        <v>6.5300000000000002E-3</v>
      </c>
      <c r="P109" s="25">
        <f>'Risk Factors'!N109</f>
        <v>9.1400000000000006E-3</v>
      </c>
      <c r="Q109" s="25">
        <f>'Risk Factors'!O109</f>
        <v>1.081E-2</v>
      </c>
      <c r="R109" s="25">
        <f>'Risk Factors'!P109</f>
        <v>1.359E-2</v>
      </c>
      <c r="S109" s="25">
        <f>'Risk Factors'!R109</f>
        <v>-1.11E-2</v>
      </c>
      <c r="T109" s="25">
        <f>'Risk Factors'!S109</f>
        <v>1.951E-2</v>
      </c>
      <c r="U109" s="25">
        <f>BMG!F109</f>
        <v>1.6858399999999999E-2</v>
      </c>
      <c r="V109" s="25"/>
      <c r="W109" s="421">
        <v>43465</v>
      </c>
      <c r="X109" s="25">
        <f>'Risk Factors'!F109</f>
        <v>-7.6799999999999993E-2</v>
      </c>
      <c r="Y109" s="25">
        <f>'Risk Factors'!G109</f>
        <v>-1.01E-2</v>
      </c>
      <c r="Z109" s="25">
        <f>'Risk Factors'!H109</f>
        <v>7.0000000000000001E-3</v>
      </c>
      <c r="AA109" s="25">
        <f>'Risk Factors'!T109</f>
        <v>1.7610000000000001E-2</v>
      </c>
      <c r="AB109" s="25">
        <f>'Risk Factors'!U109</f>
        <v>-2.0240000000000001E-2</v>
      </c>
      <c r="AC109" s="25">
        <f>BMG!F109</f>
        <v>1.6858399999999999E-2</v>
      </c>
      <c r="AE109" s="6"/>
      <c r="AG109" s="6"/>
      <c r="AI109" s="6"/>
      <c r="AK109" s="6"/>
      <c r="AM109" s="6"/>
      <c r="AO109" s="6"/>
      <c r="AQ109" s="6"/>
      <c r="AS109" s="6"/>
      <c r="AU109" s="6"/>
      <c r="AW109" s="6"/>
      <c r="AY109" s="6"/>
      <c r="BA109" s="6"/>
      <c r="BC109" s="6"/>
      <c r="BE109" s="6"/>
      <c r="BG109" s="6"/>
      <c r="BI109" s="6"/>
      <c r="BK109" s="6"/>
      <c r="BM109" s="6"/>
      <c r="BO109" s="6"/>
      <c r="BQ109" s="6"/>
      <c r="BS109" s="6"/>
      <c r="BU109" s="6"/>
      <c r="BW109" s="6"/>
      <c r="BY109" s="6"/>
      <c r="CA109" s="6"/>
      <c r="CC109" s="6"/>
      <c r="CE109" s="6"/>
      <c r="CG109" s="6"/>
      <c r="CI109" s="6"/>
      <c r="CK109" s="6"/>
      <c r="CM109" s="6"/>
      <c r="CO109" s="6"/>
      <c r="CQ109" s="6"/>
      <c r="CS109" s="6"/>
      <c r="CU109" s="6"/>
      <c r="CW109" s="6"/>
      <c r="CY109" s="6"/>
      <c r="DA109" s="6"/>
      <c r="DC109" s="6"/>
      <c r="DE109" s="6"/>
      <c r="DG109" s="6"/>
      <c r="DI109" s="6"/>
      <c r="DK109" s="6"/>
      <c r="DM109" s="6"/>
      <c r="DO109" s="6"/>
      <c r="DQ109" s="6"/>
      <c r="DS109" s="6"/>
      <c r="DU109" s="6"/>
      <c r="DW109" s="6"/>
      <c r="DY109" s="6"/>
      <c r="EA109" s="6"/>
      <c r="EC109" s="6"/>
      <c r="EE109" s="6"/>
      <c r="EG109" s="6"/>
      <c r="EI109" s="6"/>
      <c r="EK109" s="6"/>
      <c r="EM109" s="6"/>
      <c r="EO109" s="6"/>
      <c r="EQ109" s="6"/>
      <c r="ES109" s="6"/>
      <c r="EU109" s="6"/>
      <c r="EW109" s="6"/>
      <c r="EY109" s="6"/>
      <c r="FA109" s="6"/>
      <c r="FC109" s="6"/>
      <c r="FE109" s="6"/>
      <c r="FG109" s="6"/>
      <c r="FI109" s="6"/>
      <c r="FK109" s="6"/>
      <c r="FM109" s="6"/>
      <c r="FO109" s="6"/>
      <c r="FQ109" s="6"/>
      <c r="FS109" s="6"/>
      <c r="FU109" s="6"/>
      <c r="FW109" s="6"/>
      <c r="FY109" s="6"/>
      <c r="GA109" s="6"/>
      <c r="GC109" s="6"/>
      <c r="GE109" s="6"/>
    </row>
  </sheetData>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E1:DJ110"/>
  <sheetViews>
    <sheetView topLeftCell="BG2" workbookViewId="0">
      <selection activeCell="CG31" sqref="CG31"/>
    </sheetView>
  </sheetViews>
  <sheetFormatPr baseColWidth="10" defaultRowHeight="15"/>
  <cols>
    <col min="5" max="5" width="20.7109375" customWidth="1"/>
    <col min="26" max="30" width="11.42578125" style="343"/>
    <col min="31" max="31" width="11.42578125" customWidth="1"/>
    <col min="32" max="36" width="11.42578125" style="343" customWidth="1"/>
    <col min="37" max="37" width="58" style="343" bestFit="1" customWidth="1"/>
    <col min="38" max="38" width="11.85546875" style="343" bestFit="1" customWidth="1"/>
    <col min="39" max="39" width="11" style="343" bestFit="1" customWidth="1"/>
    <col min="40" max="42" width="11.42578125" style="343"/>
    <col min="43" max="43" width="10.85546875" style="343"/>
    <col min="44" max="49" width="11.42578125" style="343"/>
    <col min="50" max="50" width="14" style="343" bestFit="1" customWidth="1"/>
    <col min="51" max="51" width="20.7109375" customWidth="1"/>
    <col min="88" max="88" width="11.42578125" style="343"/>
    <col min="89" max="89" width="11.85546875" style="343" bestFit="1" customWidth="1"/>
    <col min="90" max="90" width="11" style="343" bestFit="1" customWidth="1"/>
    <col min="91" max="94" width="11.42578125" style="343"/>
    <col min="95" max="95" width="14" style="343" bestFit="1" customWidth="1"/>
    <col min="96" max="96" width="14" style="343" customWidth="1"/>
    <col min="97" max="97" width="18.85546875" bestFit="1" customWidth="1"/>
    <col min="105" max="105" width="25.7109375" style="214" customWidth="1"/>
    <col min="106" max="106" width="40.140625" bestFit="1" customWidth="1"/>
    <col min="107" max="107" width="11.7109375" bestFit="1" customWidth="1"/>
    <col min="108" max="108" width="12.140625" bestFit="1" customWidth="1"/>
    <col min="109" max="109" width="17.28515625" bestFit="1" customWidth="1"/>
    <col min="110" max="110" width="19.7109375" bestFit="1" customWidth="1"/>
  </cols>
  <sheetData>
    <row r="1" spans="5:114">
      <c r="E1" s="213" t="s">
        <v>134</v>
      </c>
      <c r="F1" s="24" t="s">
        <v>265</v>
      </c>
      <c r="G1" s="2" t="s">
        <v>129</v>
      </c>
      <c r="H1" s="2" t="s">
        <v>131</v>
      </c>
      <c r="I1" s="2" t="str">
        <f>O1&amp;" Beta"</f>
        <v>BP Beta</v>
      </c>
      <c r="J1" s="2" t="str">
        <f t="shared" ref="J1:M1" si="0">P1&amp;" Beta"</f>
        <v>Tata Motors Beta</v>
      </c>
      <c r="K1" s="2" t="str">
        <f t="shared" si="0"/>
        <v>Vestas Beta</v>
      </c>
      <c r="L1" s="2" t="str">
        <f t="shared" si="0"/>
        <v>Toyota Beta</v>
      </c>
      <c r="M1" s="2" t="str">
        <f t="shared" si="0"/>
        <v>IBM Beta</v>
      </c>
      <c r="N1" s="2" t="s">
        <v>155</v>
      </c>
      <c r="O1" s="208" t="str">
        <f>Portfolios!F10</f>
        <v>BP</v>
      </c>
      <c r="P1" s="208" t="str">
        <f>Portfolios!F11</f>
        <v>Tata Motors</v>
      </c>
      <c r="Q1" s="208" t="str">
        <f>Portfolios!F12</f>
        <v>Vestas</v>
      </c>
      <c r="R1" s="208" t="str">
        <f>Portfolios!F13</f>
        <v>Toyota</v>
      </c>
      <c r="S1" s="208" t="str">
        <f>Portfolios!F14</f>
        <v>IBM</v>
      </c>
      <c r="T1" t="str">
        <f>Portfolios!F10</f>
        <v>BP</v>
      </c>
      <c r="U1" t="str">
        <f>Portfolios!F11</f>
        <v>Tata Motors</v>
      </c>
      <c r="V1" t="str">
        <f>Portfolios!F12</f>
        <v>Vestas</v>
      </c>
      <c r="W1" t="str">
        <f>Portfolios!F13</f>
        <v>Toyota</v>
      </c>
      <c r="X1" t="str">
        <f>Portfolios!F14</f>
        <v>IBM</v>
      </c>
      <c r="Y1" t="s">
        <v>131</v>
      </c>
      <c r="Z1" s="208" t="str">
        <f>O1&amp;" Beta"</f>
        <v>BP Beta</v>
      </c>
      <c r="AA1" s="208" t="str">
        <f t="shared" ref="AA1:AD1" si="1">P1&amp;" Beta"</f>
        <v>Tata Motors Beta</v>
      </c>
      <c r="AB1" s="208" t="str">
        <f t="shared" si="1"/>
        <v>Vestas Beta</v>
      </c>
      <c r="AC1" s="208" t="str">
        <f t="shared" si="1"/>
        <v>Toyota Beta</v>
      </c>
      <c r="AD1" s="208" t="str">
        <f t="shared" si="1"/>
        <v>IBM Beta</v>
      </c>
      <c r="AE1" s="208" t="s">
        <v>132</v>
      </c>
      <c r="AF1" s="208" t="str">
        <f>Z1&amp;" rolling"</f>
        <v>BP Beta rolling</v>
      </c>
      <c r="AG1" s="208" t="str">
        <f t="shared" ref="AG1:AJ1" si="2">AA1&amp;" rolling"</f>
        <v>Tata Motors Beta rolling</v>
      </c>
      <c r="AH1" s="208" t="str">
        <f t="shared" si="2"/>
        <v>Vestas Beta rolling</v>
      </c>
      <c r="AI1" s="208" t="str">
        <f t="shared" si="2"/>
        <v>Toyota Beta rolling</v>
      </c>
      <c r="AJ1" s="208" t="str">
        <f t="shared" si="2"/>
        <v>IBM Beta rolling</v>
      </c>
      <c r="AK1" s="343" t="s">
        <v>273</v>
      </c>
      <c r="AL1" s="343" t="str">
        <f>Portfolios!$F$10</f>
        <v>BP</v>
      </c>
      <c r="AM1" s="343" t="str">
        <f>Portfolios!$F$11</f>
        <v>Tata Motors</v>
      </c>
      <c r="AN1" s="343" t="str">
        <f>Portfolios!$F$12</f>
        <v>Vestas</v>
      </c>
      <c r="AO1" s="343" t="str">
        <f>Portfolios!$F$13</f>
        <v>Toyota</v>
      </c>
      <c r="AP1" s="343" t="str">
        <f>Portfolios!$F$14</f>
        <v>IBM</v>
      </c>
      <c r="AQ1" s="343" t="s">
        <v>274</v>
      </c>
      <c r="AR1" s="417">
        <f>Portfolios!G10</f>
        <v>0.1</v>
      </c>
      <c r="AS1" s="417">
        <f>Portfolios!G11</f>
        <v>0.1</v>
      </c>
      <c r="AT1" s="417">
        <f>Portfolios!G12</f>
        <v>0.3</v>
      </c>
      <c r="AU1" s="417">
        <f>Portfolios!G13</f>
        <v>0.3</v>
      </c>
      <c r="AV1" s="417">
        <f>Portfolios!G14</f>
        <v>0.19999999999999996</v>
      </c>
      <c r="AW1" s="343" t="s">
        <v>275</v>
      </c>
      <c r="AX1" s="343" t="s">
        <v>155</v>
      </c>
      <c r="AY1" s="213" t="s">
        <v>135</v>
      </c>
      <c r="AZ1" s="24" t="s">
        <v>265</v>
      </c>
      <c r="BA1" s="2" t="str">
        <f>'Management and Hedging'!F10</f>
        <v>US GI World Precious Minerals</v>
      </c>
      <c r="BB1" s="2" t="str">
        <f>'Management and Hedging'!F11</f>
        <v>Vestas</v>
      </c>
      <c r="BC1" s="2" t="s">
        <v>129</v>
      </c>
      <c r="BD1" s="2" t="str">
        <f>BA1&amp;" Beta"</f>
        <v>US GI World Precious Minerals Beta</v>
      </c>
      <c r="BE1" s="2" t="str">
        <f>BB1&amp;" Beta"</f>
        <v>Vestas Beta</v>
      </c>
      <c r="BF1" s="2" t="s">
        <v>131</v>
      </c>
      <c r="BG1" s="2" t="s">
        <v>129</v>
      </c>
      <c r="BH1" s="208" t="str">
        <f>'Management and Hedging'!F10</f>
        <v>US GI World Precious Minerals</v>
      </c>
      <c r="BI1" s="208" t="str">
        <f>'Management and Hedging'!F11</f>
        <v>Vestas</v>
      </c>
      <c r="BJ1" s="208" t="str">
        <f>'Management and Hedging'!F10</f>
        <v>US GI World Precious Minerals</v>
      </c>
      <c r="BK1" s="208" t="str">
        <f>'Management and Hedging'!F11</f>
        <v>Vestas</v>
      </c>
      <c r="BL1" t="str">
        <f>BD1&amp;" Beta"</f>
        <v>US GI World Precious Minerals Beta Beta</v>
      </c>
      <c r="BM1" t="str">
        <f>BE1&amp;" Beta"</f>
        <v>Vestas Beta Beta</v>
      </c>
      <c r="BN1" s="208" t="s">
        <v>131</v>
      </c>
      <c r="BO1" t="str">
        <f>BL1&amp;" Beta rolling"</f>
        <v>US GI World Precious Minerals Beta Beta Beta rolling</v>
      </c>
      <c r="BP1" t="str">
        <f>BM1&amp;" Beta rolling"</f>
        <v>Vestas Beta Beta Beta rolling</v>
      </c>
      <c r="BQ1" s="208" t="s">
        <v>132</v>
      </c>
      <c r="BR1" s="208" t="str">
        <f>'Asset Returns'!F1</f>
        <v>Gazprom</v>
      </c>
      <c r="BS1" s="208" t="str">
        <f>'Asset Returns'!G1</f>
        <v>Vestas</v>
      </c>
      <c r="BT1" s="208" t="str">
        <f>'Asset Returns'!H1</f>
        <v>BP</v>
      </c>
      <c r="BU1" s="208" t="str">
        <f>'Asset Returns'!I1</f>
        <v>Tata Motors</v>
      </c>
      <c r="BV1" s="208" t="str">
        <f>'Asset Returns'!J1</f>
        <v>Toyota</v>
      </c>
      <c r="BW1" s="208" t="str">
        <f>'Asset Returns'!K1</f>
        <v>Philips</v>
      </c>
      <c r="BX1" s="208" t="str">
        <f>'Asset Returns'!L1</f>
        <v>Adobe</v>
      </c>
      <c r="BY1" s="208" t="str">
        <f>'Asset Returns'!M1</f>
        <v>IBM</v>
      </c>
      <c r="BZ1" s="208" t="str">
        <f>'Asset Returns'!N1</f>
        <v>Johnson &amp; Johnson</v>
      </c>
      <c r="CA1" s="208" t="str">
        <f>'Asset Returns'!U1</f>
        <v>RobecoSAM Sustainable EE</v>
      </c>
      <c r="CB1" s="208" t="str">
        <f>'Asset Returns'!V1</f>
        <v>iShares Global Clean Energy ETF USD Dist</v>
      </c>
      <c r="CC1" s="208" t="str">
        <f>'Asset Returns'!W1</f>
        <v>LO Funds Generation</v>
      </c>
      <c r="CD1" s="208" t="str">
        <f>'Asset Returns'!X1</f>
        <v>Triodos Sustainable Equity</v>
      </c>
      <c r="CE1" s="208" t="str">
        <f>'Asset Returns'!Y1</f>
        <v>ProShares UltraShort Oil &amp; Gas</v>
      </c>
      <c r="CF1" s="208" t="str">
        <f>'Asset Returns'!Z1</f>
        <v>US GI World Precious Minerals</v>
      </c>
      <c r="CG1" s="208" t="str">
        <f>'Asset Returns'!AA1</f>
        <v>iShares MSCI World ETF</v>
      </c>
      <c r="CH1" s="208" t="str">
        <f>'Asset Returns'!AB1</f>
        <v>UniNachhaltig Aktien G</v>
      </c>
      <c r="CI1" s="208" t="str">
        <f>'Asset Returns'!AC1</f>
        <v>Rydex  VaR Dow</v>
      </c>
      <c r="CJ1" s="343" t="s">
        <v>273</v>
      </c>
      <c r="CK1" s="343" t="str">
        <f>'Management and Hedging'!$F$10</f>
        <v>US GI World Precious Minerals</v>
      </c>
      <c r="CL1" s="343" t="str">
        <f>'Management and Hedging'!$F$11</f>
        <v>Vestas</v>
      </c>
      <c r="CM1" s="343" t="s">
        <v>274</v>
      </c>
      <c r="CN1" s="417">
        <f>'Management and Hedging'!$G$10</f>
        <v>0.2</v>
      </c>
      <c r="CO1" s="417">
        <f>'Management and Hedging'!$G$11</f>
        <v>0.8</v>
      </c>
      <c r="CP1" s="343" t="s">
        <v>275</v>
      </c>
      <c r="CQ1" s="343" t="s">
        <v>155</v>
      </c>
      <c r="CR1" s="2" t="s">
        <v>136</v>
      </c>
      <c r="CS1" s="92" t="s">
        <v>276</v>
      </c>
      <c r="CT1" s="342" t="s">
        <v>30</v>
      </c>
      <c r="CU1" s="342" t="s">
        <v>158</v>
      </c>
      <c r="CV1" s="342" t="s">
        <v>12</v>
      </c>
      <c r="CW1" s="342" t="s">
        <v>13</v>
      </c>
      <c r="CX1" s="346" t="s">
        <v>16</v>
      </c>
      <c r="CY1" s="214" t="s">
        <v>281</v>
      </c>
      <c r="CZ1" s="214" t="s">
        <v>214</v>
      </c>
      <c r="DA1" s="213" t="s">
        <v>137</v>
      </c>
      <c r="DB1" s="341" t="s">
        <v>276</v>
      </c>
      <c r="DC1" s="213" t="s">
        <v>30</v>
      </c>
      <c r="DD1" s="213" t="s">
        <v>16</v>
      </c>
      <c r="DE1" s="214" t="s">
        <v>281</v>
      </c>
      <c r="DF1" s="214" t="s">
        <v>214</v>
      </c>
    </row>
    <row r="2" spans="5:114">
      <c r="F2" s="421">
        <v>40209</v>
      </c>
      <c r="G2" s="92">
        <f>IF(Portfolios!$G$16="yes",SUM(T2:X2),AX2)</f>
        <v>-8.6464310437440878E-2</v>
      </c>
      <c r="H2" s="138" t="e">
        <f>IF(IF(Portfolios!$J$10="no",'AC3'!Y2,'AC3'!AE2)=0,NA(),IF(Portfolios!$J$10="no",Y2,AE2))</f>
        <v>#N/A</v>
      </c>
      <c r="I2" s="138" t="e">
        <f>IF(Portfolios!$J$11="no",NA(),IF(IF(Portfolios!$J$10="no",'AC3'!Z2,'AC3'!AF2)=0,NA(),IF(Portfolios!$J$10="no",Z2,AF2)))</f>
        <v>#N/A</v>
      </c>
      <c r="J2" s="138" t="e">
        <f>IF(Portfolios!$J$11="no",NA(),IF(IF(Portfolios!$J$10="no",'AC3'!AA2,'AC3'!AG2)=0,NA(),IF(Portfolios!$J$10="no",AA2,AG2)))</f>
        <v>#N/A</v>
      </c>
      <c r="K2" s="138" t="e">
        <f>IF(Portfolios!$J$11="no",NA(),IF(IF(Portfolios!$J$10="no",'AC3'!AB2,'AC3'!AH2)=0,NA(),IF(Portfolios!$J$10="no",AB2,AH2)))</f>
        <v>#N/A</v>
      </c>
      <c r="L2" s="138" t="e">
        <f>IF(Portfolios!$J$11="no",NA(),IF(IF(Portfolios!$J$10="no",'AC3'!AC2,'AC3'!AI2)=0,NA(),IF(Portfolios!$J$10="no",AC2,AI2)))</f>
        <v>#N/A</v>
      </c>
      <c r="M2" s="138" t="e">
        <f>IF(Portfolios!$J$11="no",NA(),IF(IF(Portfolios!$J$10="no",'AC3'!AD2,'AC3'!AJ2)=0,NA(),IF(Portfolios!$J$10="no",AD2,AJ2)))</f>
        <v>#N/A</v>
      </c>
      <c r="N2" s="92">
        <f>G2-'Risk Factors'!J2</f>
        <v>-8.6464310437440878E-2</v>
      </c>
      <c r="O2" s="260">
        <f>HLOOKUP(O$1,'Asset Returns'!$F$1:$N$109,ROW(),0)-'Risk Factors'!$J2</f>
        <v>-2.9372639954090118E-2</v>
      </c>
      <c r="P2" s="260">
        <f>HLOOKUP(P$1,'Asset Returns'!$F$1:$N$109,ROW(),0)-'Risk Factors'!$J2</f>
        <v>-0.11586199700832367</v>
      </c>
      <c r="Q2" s="260">
        <f>HLOOKUP(Q$1,'Asset Returns'!$F$1:$N$109,ROW(),0)-'Risk Factors'!$J2</f>
        <v>-0.12015439569950104</v>
      </c>
      <c r="R2" s="260">
        <f>HLOOKUP(R$1,'Asset Returns'!$F$1:$N$109,ROW(),0)-'Risk Factors'!$J2</f>
        <v>-7.6307445764541626E-2</v>
      </c>
      <c r="S2" s="260">
        <f>HLOOKUP(S$1,'Asset Returns'!$F$1:$N$109,ROW(),0)-'Risk Factors'!$J2</f>
        <v>-6.5011471509933472E-2</v>
      </c>
      <c r="T2" s="6">
        <f>HLOOKUP(T$1,'Asset Returns'!$F$1:$N$109,ROW(),0)*Portfolios!$G$10</f>
        <v>-2.937263995409012E-3</v>
      </c>
      <c r="U2" s="260">
        <f>HLOOKUP(U$1,'Asset Returns'!$F$1:$N$109,ROW(),0)*Portfolios!$G$11</f>
        <v>-1.1586199700832368E-2</v>
      </c>
      <c r="V2" s="260">
        <f>HLOOKUP(V$1,'Asset Returns'!$F$1:$N$109,ROW(),0)*Portfolios!$G$12</f>
        <v>-3.6046318709850311E-2</v>
      </c>
      <c r="W2" s="260">
        <f>HLOOKUP(W$1,'Asset Returns'!$F$1:$N$109,ROW(),0)*Portfolios!$G$13</f>
        <v>-2.2892233729362488E-2</v>
      </c>
      <c r="X2" s="260">
        <f>HLOOKUP(X$1,'Asset Returns'!$F$1:$N$109,ROW(),0)*Portfolios!$G$14</f>
        <v>-1.3002294301986692E-2</v>
      </c>
      <c r="Y2" s="138">
        <f>Portfolios!$R$34</f>
        <v>-0.68211369708646341</v>
      </c>
      <c r="Z2" s="138">
        <f>Portfolios!$P$11</f>
        <v>0.9378377404978776</v>
      </c>
      <c r="AA2" s="138">
        <f>Portfolios!$P$12</f>
        <v>0.64097224418739052</v>
      </c>
      <c r="AB2" s="138">
        <f>Portfolios!$P$13</f>
        <v>-2.1312105104673718</v>
      </c>
      <c r="AC2" s="138">
        <f>Portfolios!$P$14</f>
        <v>-0.78557102570241866</v>
      </c>
      <c r="AD2" s="138">
        <f>Portfolios!$P$15</f>
        <v>0.17519882647973573</v>
      </c>
      <c r="AL2" s="418">
        <f>Portfolios!$G$10*(1+O2+'Risk Factors'!$J2)</f>
        <v>9.7062736004590991E-2</v>
      </c>
      <c r="AM2" s="418">
        <f>Portfolios!$G$11*(1+P2+'Risk Factors'!$J2)</f>
        <v>8.8413800299167636E-2</v>
      </c>
      <c r="AN2" s="418">
        <f>Portfolios!$G$12*(1+Q2+'Risk Factors'!$J2)</f>
        <v>0.26395368129014968</v>
      </c>
      <c r="AO2" s="418">
        <f>Portfolios!$G$13*(1+R2+'Risk Factors'!$J2)</f>
        <v>0.27710776627063749</v>
      </c>
      <c r="AP2" s="418">
        <f>Portfolios!$G$14*(1+S2+'Risk Factors'!$J2)</f>
        <v>0.18699770569801327</v>
      </c>
      <c r="AQ2" s="418"/>
      <c r="AR2" s="343">
        <f t="shared" ref="AR2:AR33" si="3">AL2/SUM($AL2:$AP2)</f>
        <v>0.10624952819420649</v>
      </c>
      <c r="AS2" s="343">
        <f t="shared" ref="AS2:AS33" si="4">AM2/SUM($AL2:$AP2)</f>
        <v>9.6781988168961455E-2</v>
      </c>
      <c r="AT2" s="343">
        <f t="shared" ref="AT2:AT33" si="5">AN2/SUM($AL2:$AP2)</f>
        <v>0.28893636483599483</v>
      </c>
      <c r="AU2" s="343">
        <f t="shared" ref="AU2:AU33" si="6">AO2/SUM($AL2:$AP2)</f>
        <v>0.30333545742841078</v>
      </c>
      <c r="AV2" s="343">
        <f t="shared" ref="AV2:AV33" si="7">AP2/SUM($AL2:$AP2)</f>
        <v>0.20469666137242648</v>
      </c>
      <c r="AW2" s="418">
        <f t="shared" ref="AW2:AW33" si="8">SUM(AL2:AP2)</f>
        <v>0.91353568956255904</v>
      </c>
      <c r="AX2" s="343">
        <f>AW2/1-1</f>
        <v>-8.6464310437440961E-2</v>
      </c>
      <c r="AZ2" s="421">
        <v>40209</v>
      </c>
      <c r="BA2" s="92">
        <f>HLOOKUP(BA$1,'AC4'!$F$1:$AC$109,ROW(),0)*'Management and Hedging'!$G$10</f>
        <v>-1.917336E-2</v>
      </c>
      <c r="BB2" s="92">
        <f>HLOOKUP(BB$1,'AC4'!$F$1:$AC$109,ROW(),0)*'Management and Hedging'!$G$11</f>
        <v>-9.612351655960083E-2</v>
      </c>
      <c r="BC2" s="92">
        <f>IF('Management and Hedging'!$G$13="yes",BA2+BB2,CQ2)</f>
        <v>-0.11529687655960083</v>
      </c>
      <c r="BD2" s="138" t="e">
        <f>IF(IF('Management and Hedging'!$J$10="no",BL2,BO2)=0,NA(),IF('Management and Hedging'!$J$10="no",BL2,BO2))</f>
        <v>#N/A</v>
      </c>
      <c r="BE2" s="138" t="e">
        <f>IF(IF('Management and Hedging'!$J$10="no",BM2,BP2)=0,NA(),IF('Management and Hedging'!$J$10="no",BM2,BP2))</f>
        <v>#N/A</v>
      </c>
      <c r="BF2" s="138" t="e">
        <f>IF(IF('Management and Hedging'!$J$10="no",BN2,BQ2)=0,NA(),IF('Management and Hedging'!$J$10="no",BN2,BQ2))</f>
        <v>#N/A</v>
      </c>
      <c r="BG2" s="92">
        <f>IF('Management and Hedging'!$G$13="yes",BH2+BI2,CQ2)</f>
        <v>-0.11529687655960083</v>
      </c>
      <c r="BH2" s="92">
        <f>HLOOKUP(BH$1,'Asset Returns'!$F$1:$ZY$109,ROW(),0)*'Management and Hedging'!$G$10</f>
        <v>-1.917336E-2</v>
      </c>
      <c r="BI2" s="92">
        <f>HLOOKUP(BI$1,'Asset Returns'!$F$1:$ZY$109,ROW(),0)*'Management and Hedging'!$G$11</f>
        <v>-9.612351655960083E-2</v>
      </c>
      <c r="BJ2" s="92">
        <f>HLOOKUP(BJ$1,'AC4'!$F$1:$AC$109,ROW(),0)</f>
        <v>-9.5866799999999988E-2</v>
      </c>
      <c r="BK2" s="92">
        <f>HLOOKUP(BK$1,'AC4'!$F$1:$AC$109,ROW(),0)</f>
        <v>-0.12015439569950104</v>
      </c>
      <c r="BL2" s="138">
        <f ca="1">'Management and Hedging'!$R$34</f>
        <v>2.5919346055080732</v>
      </c>
      <c r="BM2" s="138">
        <f ca="1">'Management and Hedging'!$R$36</f>
        <v>-2.1312105104673718</v>
      </c>
      <c r="BN2" s="138">
        <f>'Management and Hedging'!$R$38</f>
        <v>-1.1865814872722835</v>
      </c>
      <c r="BR2" s="208"/>
      <c r="BS2" s="208"/>
      <c r="BT2" s="208"/>
      <c r="BU2" s="208"/>
      <c r="BV2" s="208"/>
      <c r="BW2" s="208"/>
      <c r="BX2" s="208"/>
      <c r="BY2" s="208"/>
      <c r="BZ2" s="208"/>
      <c r="CA2" s="208"/>
      <c r="CB2" s="208"/>
      <c r="CC2" s="208"/>
      <c r="CD2" s="208"/>
      <c r="CE2" s="208"/>
      <c r="CF2" s="208"/>
      <c r="CG2" s="208"/>
      <c r="CH2" s="208"/>
      <c r="CI2" s="208"/>
      <c r="CJ2" s="208"/>
      <c r="CK2" s="418">
        <f>'Management and Hedging'!$G$10*(1+BA2+'Risk Factors'!$J2)</f>
        <v>0.196165328</v>
      </c>
      <c r="CL2" s="418">
        <f>'Management and Hedging'!$G$11*(1+BB2+'Risk Factors'!$J2)</f>
        <v>0.72310118675231938</v>
      </c>
      <c r="CM2" s="418"/>
      <c r="CN2" s="343">
        <f>CK2/SUM($CK2:$CL2)</f>
        <v>0.21339331396494235</v>
      </c>
      <c r="CO2" s="343">
        <f>CL2/SUM($CK2:$CL2)</f>
        <v>0.78660668603505768</v>
      </c>
      <c r="CP2" s="418">
        <f>SUM(CK2:CL2)</f>
        <v>0.91926651475231935</v>
      </c>
      <c r="CQ2" s="343">
        <f>CP2/1-1</f>
        <v>-8.0733485247680647E-2</v>
      </c>
      <c r="CS2" s="214" t="s">
        <v>279</v>
      </c>
      <c r="CT2" s="183">
        <v>-0.02</v>
      </c>
      <c r="CU2" s="183">
        <v>0.65</v>
      </c>
      <c r="CV2" s="183">
        <v>0.88</v>
      </c>
      <c r="CW2" s="183">
        <v>0.21</v>
      </c>
      <c r="CX2" s="183">
        <v>0.44</v>
      </c>
      <c r="CY2" s="260">
        <v>0.18</v>
      </c>
      <c r="CZ2" s="260">
        <v>0.41</v>
      </c>
      <c r="DB2" s="214" t="s">
        <v>279</v>
      </c>
      <c r="DC2" s="183">
        <v>0.01</v>
      </c>
      <c r="DD2" s="183">
        <v>0.41</v>
      </c>
      <c r="DE2" s="183">
        <v>0.17</v>
      </c>
      <c r="DF2" s="183">
        <v>0.41</v>
      </c>
      <c r="DG2" s="6"/>
      <c r="DH2" s="6"/>
      <c r="DI2" s="6"/>
    </row>
    <row r="3" spans="5:114">
      <c r="F3" s="421">
        <v>40237</v>
      </c>
      <c r="G3" s="92">
        <f>IF(Portfolios!$G$16="yes",SUM(T3:X3),AX3)</f>
        <v>-2.6275045238435265E-2</v>
      </c>
      <c r="H3" s="138" t="e">
        <f>IF(IF(Portfolios!$J$10="no",'AC3'!Y3,'AC3'!AE3)=0,NA(),IF(Portfolios!$J$10="no",Y3,AE3))</f>
        <v>#N/A</v>
      </c>
      <c r="I3" s="138" t="e">
        <f>IF(Portfolios!$J$11="no",NA(),IF(IF(Portfolios!$J$10="no",'AC3'!Z3,'AC3'!AF3)=0,NA(),IF(Portfolios!$J$10="no",Z3,AF3)))</f>
        <v>#N/A</v>
      </c>
      <c r="J3" s="138" t="e">
        <f>IF(Portfolios!$J$11="no",NA(),IF(IF(Portfolios!$J$10="no",'AC3'!AA3,'AC3'!AG3)=0,NA(),IF(Portfolios!$J$10="no",AA3,AG3)))</f>
        <v>#N/A</v>
      </c>
      <c r="K3" s="138" t="e">
        <f>IF(Portfolios!$J$11="no",NA(),IF(IF(Portfolios!$J$10="no",'AC3'!AB3,'AC3'!AH3)=0,NA(),IF(Portfolios!$J$10="no",AB3,AH3)))</f>
        <v>#N/A</v>
      </c>
      <c r="L3" s="138" t="e">
        <f>IF(Portfolios!$J$11="no",NA(),IF(IF(Portfolios!$J$10="no",'AC3'!AC3,'AC3'!AI3)=0,NA(),IF(Portfolios!$J$10="no",AC3,AI3)))</f>
        <v>#N/A</v>
      </c>
      <c r="M3" s="138" t="e">
        <f>IF(Portfolios!$J$11="no",NA(),IF(IF(Portfolios!$J$10="no",'AC3'!AD3,'AC3'!AJ3)=0,NA(),IF(Portfolios!$J$10="no",AD3,AJ3)))</f>
        <v>#N/A</v>
      </c>
      <c r="N3" s="92">
        <f>G3-'Risk Factors'!J3</f>
        <v>-2.6275045238435265E-2</v>
      </c>
      <c r="O3" s="260">
        <f>HLOOKUP(O$1,'Asset Returns'!$F$1:$N$109,ROW(),0)-'Risk Factors'!$J3</f>
        <v>-4.9007833003997803E-2</v>
      </c>
      <c r="P3" s="260">
        <f>HLOOKUP(P$1,'Asset Returns'!$F$1:$N$109,ROW(),0)-'Risk Factors'!$J3</f>
        <v>2.5710742920637131E-2</v>
      </c>
      <c r="Q3" s="260">
        <f>HLOOKUP(Q$1,'Asset Returns'!$F$1:$N$109,ROW(),0)-'Risk Factors'!$J3</f>
        <v>-8.2301206886768341E-2</v>
      </c>
      <c r="R3" s="260">
        <f>HLOOKUP(R$1,'Asset Returns'!$F$1:$N$109,ROW(),0)-'Risk Factors'!$J3</f>
        <v>-2.6624774560332298E-2</v>
      </c>
      <c r="S3" s="260">
        <f>HLOOKUP(S$1,'Asset Returns'!$F$1:$N$109,ROW(),0)-'Risk Factors'!$J3</f>
        <v>4.3662291020154953E-2</v>
      </c>
      <c r="T3" s="260">
        <f>HLOOKUP(T$1,'Asset Returns'!$F$1:$N$109,ROW(),0)*Portfolios!$G$10</f>
        <v>-4.9007833003997803E-3</v>
      </c>
      <c r="U3" s="260">
        <f>HLOOKUP(U$1,'Asset Returns'!$F$1:$N$109,ROW(),0)*Portfolios!$G$11</f>
        <v>2.5710742920637131E-3</v>
      </c>
      <c r="V3" s="260">
        <f>HLOOKUP(V$1,'Asset Returns'!$F$1:$N$109,ROW(),0)*Portfolios!$G$12</f>
        <v>-2.4690362066030501E-2</v>
      </c>
      <c r="W3" s="260">
        <f>HLOOKUP(W$1,'Asset Returns'!$F$1:$N$109,ROW(),0)*Portfolios!$G$13</f>
        <v>-7.9874323680996888E-3</v>
      </c>
      <c r="X3" s="260">
        <f>HLOOKUP(X$1,'Asset Returns'!$F$1:$N$109,ROW(),0)*Portfolios!$G$14</f>
        <v>8.7324582040309885E-3</v>
      </c>
      <c r="Y3" s="138">
        <f>Portfolios!$R$34</f>
        <v>-0.68211369708646341</v>
      </c>
      <c r="Z3" s="138">
        <f>Portfolios!$P$11</f>
        <v>0.9378377404978776</v>
      </c>
      <c r="AA3" s="138">
        <f>Portfolios!$P$12</f>
        <v>0.64097224418739052</v>
      </c>
      <c r="AB3" s="138">
        <f>Portfolios!$P$13</f>
        <v>-2.1312105104673718</v>
      </c>
      <c r="AC3" s="138">
        <f>Portfolios!$P$14</f>
        <v>-0.78557102570241866</v>
      </c>
      <c r="AD3" s="138">
        <f>Portfolios!$P$15</f>
        <v>0.17519882647973573</v>
      </c>
      <c r="AL3" s="343">
        <f>AL2*(1+O3+'Risk Factors'!$J3)</f>
        <v>9.2305901647566871E-2</v>
      </c>
      <c r="AM3" s="343">
        <f>AM2*(1+P3+'Risk Factors'!$J3)</f>
        <v>9.0686984789296085E-2</v>
      </c>
      <c r="AN3" s="343">
        <f>AN2*(1+Q3+'Risk Factors'!$J3)</f>
        <v>0.24222997475776495</v>
      </c>
      <c r="AO3" s="343">
        <f>AO2*(1+R3+'Risk Factors'!$J3)</f>
        <v>0.26972983446476451</v>
      </c>
      <c r="AP3" s="343">
        <f>AP2*(1+S3+'Risk Factors'!$J3)</f>
        <v>0.19516245394430121</v>
      </c>
      <c r="AR3" s="343">
        <f t="shared" si="3"/>
        <v>0.10370107922403553</v>
      </c>
      <c r="AS3" s="343">
        <f t="shared" si="4"/>
        <v>0.10188230683375368</v>
      </c>
      <c r="AT3" s="343">
        <f t="shared" si="5"/>
        <v>0.27213330192797314</v>
      </c>
      <c r="AU3" s="343">
        <f t="shared" si="6"/>
        <v>0.30302802349208013</v>
      </c>
      <c r="AV3" s="343">
        <f t="shared" si="7"/>
        <v>0.21925528852215748</v>
      </c>
      <c r="AW3" s="418">
        <f t="shared" si="8"/>
        <v>0.89011514960369365</v>
      </c>
      <c r="AX3" s="343">
        <f>AW3/AW2-1</f>
        <v>-2.5637246827302618E-2</v>
      </c>
      <c r="AZ3" s="421">
        <v>40237</v>
      </c>
      <c r="BA3" s="92">
        <f>HLOOKUP(BA$1,'AC4'!$F$1:$AC$109,ROW(),0)*'Management and Hedging'!$G$10</f>
        <v>1.4222220000000001E-2</v>
      </c>
      <c r="BB3" s="92">
        <f>HLOOKUP(BB$1,'AC4'!$F$1:$AC$109,ROW(),0)*'Management and Hedging'!$G$11</f>
        <v>-6.5840965509414678E-2</v>
      </c>
      <c r="BC3" s="92">
        <f>IF('Management and Hedging'!$G$13="yes",BA3+BB3,CQ3)</f>
        <v>-5.1618745509414678E-2</v>
      </c>
      <c r="BD3" s="138" t="e">
        <f>IF(IF('Management and Hedging'!$J$10="no",BL3,BO3)=0,NA(),IF('Management and Hedging'!$J$10="no",BL3,BO3))</f>
        <v>#N/A</v>
      </c>
      <c r="BE3" s="138" t="e">
        <f>IF(IF('Management and Hedging'!$J$10="no",BM3,BP3)=0,NA(),IF('Management and Hedging'!$J$10="no",BM3,BP3))</f>
        <v>#N/A</v>
      </c>
      <c r="BF3" s="138" t="e">
        <f>IF(IF('Management and Hedging'!$J$10="no",BN3,BQ3)=0,NA(),IF('Management and Hedging'!$J$10="no",BN3,BQ3))</f>
        <v>#N/A</v>
      </c>
      <c r="BG3" s="92">
        <f>IF('Management and Hedging'!$G$13="yes",BH3+BI3,CQ3)</f>
        <v>-5.1618745509414678E-2</v>
      </c>
      <c r="BH3" s="92">
        <f>HLOOKUP(BH$1,'Asset Returns'!$F$1:$ZY$109,ROW(),0)*'Management and Hedging'!$G$10</f>
        <v>1.4222220000000001E-2</v>
      </c>
      <c r="BI3" s="92">
        <f>HLOOKUP(BI$1,'Asset Returns'!$F$1:$ZY$109,ROW(),0)*'Management and Hedging'!$G$11</f>
        <v>-6.5840965509414678E-2</v>
      </c>
      <c r="BJ3" s="92">
        <f>HLOOKUP(BJ$1,'AC4'!$F$1:$AC$109,ROW(),0)</f>
        <v>7.1111099999999997E-2</v>
      </c>
      <c r="BK3" s="92">
        <f>HLOOKUP(BK$1,'AC4'!$F$1:$AC$109,ROW(),0)</f>
        <v>-8.2301206886768341E-2</v>
      </c>
      <c r="BL3" s="138">
        <f ca="1">'Management and Hedging'!$R$34</f>
        <v>2.5919346055080732</v>
      </c>
      <c r="BM3" s="138">
        <f ca="1">'Management and Hedging'!$R$36</f>
        <v>-2.1312105104673718</v>
      </c>
      <c r="BN3" s="138">
        <f>'Management and Hedging'!$R$38</f>
        <v>-1.1865814872722835</v>
      </c>
      <c r="BR3" s="208"/>
      <c r="BS3" s="208"/>
      <c r="BT3" s="208"/>
      <c r="BU3" s="208"/>
      <c r="BV3" s="208"/>
      <c r="BW3" s="208"/>
      <c r="BX3" s="208"/>
      <c r="BY3" s="208"/>
      <c r="BZ3" s="208"/>
      <c r="CA3" s="208"/>
      <c r="CB3" s="208"/>
      <c r="CC3" s="208"/>
      <c r="CD3" s="208"/>
      <c r="CE3" s="208"/>
      <c r="CF3" s="208"/>
      <c r="CG3" s="208"/>
      <c r="CH3" s="208"/>
      <c r="CI3" s="208"/>
      <c r="CJ3" s="208"/>
      <c r="CK3" s="343">
        <f>CK2*(1+BA3+'Risk Factors'!$J3)</f>
        <v>0.19895523445118815</v>
      </c>
      <c r="CL3" s="343">
        <f>CL2*(1+BB3+'Risk Factors'!$J3)</f>
        <v>0.67549150645554312</v>
      </c>
      <c r="CN3" s="343">
        <f t="shared" ref="CN3:CN66" si="9">CK3/SUM($CK3:$CL3)</f>
        <v>0.22752127161556746</v>
      </c>
      <c r="CO3" s="343">
        <f>CL3/SUM($CK3:$CL3)</f>
        <v>0.77247872838443254</v>
      </c>
      <c r="CP3" s="418">
        <f t="shared" ref="CP3:CP66" si="10">SUM(CK3:CL3)</f>
        <v>0.87444674090673125</v>
      </c>
      <c r="CQ3" s="343">
        <f>CP3/CP2-1</f>
        <v>-4.8756017026970744E-2</v>
      </c>
      <c r="CS3" s="92" t="s">
        <v>277</v>
      </c>
      <c r="CT3" s="183">
        <v>-0.44</v>
      </c>
      <c r="CU3" s="183">
        <v>0.65</v>
      </c>
      <c r="CV3" s="183">
        <v>0.89</v>
      </c>
      <c r="CW3" s="183">
        <v>0.22</v>
      </c>
      <c r="CX3" s="183">
        <v>0.48</v>
      </c>
      <c r="CY3" s="260">
        <v>0.19</v>
      </c>
      <c r="CZ3" s="260">
        <v>0.39</v>
      </c>
      <c r="DB3" s="214" t="s">
        <v>164</v>
      </c>
      <c r="DC3" s="183">
        <f>VLOOKUP(DB6,DB8:DF16,2,0)</f>
        <v>-0.49957179764050846</v>
      </c>
      <c r="DD3" s="183">
        <f>VLOOKUP(DB6,DB8:DF16,3,0)</f>
        <v>0.4382279222766764</v>
      </c>
      <c r="DE3" s="183">
        <f>VLOOKUP(DB6,DB8:DF16,4,0)</f>
        <v>0.16881781716560107</v>
      </c>
      <c r="DF3" s="183">
        <f>VLOOKUP(DB6,DB8:DF16,5,0)</f>
        <v>0.38826621875942796</v>
      </c>
      <c r="DG3" s="260"/>
      <c r="DH3" s="260"/>
      <c r="DI3" s="260"/>
    </row>
    <row r="4" spans="5:114">
      <c r="F4" s="421">
        <v>40268</v>
      </c>
      <c r="G4" s="92">
        <f>IF(Portfolios!$G$16="yes",SUM(T4:X4),AX4)</f>
        <v>7.1228908747434622E-2</v>
      </c>
      <c r="H4" s="138" t="e">
        <f>IF(IF(Portfolios!$J$10="no",'AC3'!Y4,'AC3'!AE4)=0,NA(),IF(Portfolios!$J$10="no",Y4,AE4))</f>
        <v>#N/A</v>
      </c>
      <c r="I4" s="138" t="e">
        <f>IF(Portfolios!$J$11="no",NA(),IF(IF(Portfolios!$J$10="no",'AC3'!Z4,'AC3'!AF4)=0,NA(),IF(Portfolios!$J$10="no",Z4,AF4)))</f>
        <v>#N/A</v>
      </c>
      <c r="J4" s="138" t="e">
        <f>IF(Portfolios!$J$11="no",NA(),IF(IF(Portfolios!$J$10="no",'AC3'!AA4,'AC3'!AG4)=0,NA(),IF(Portfolios!$J$10="no",AA4,AG4)))</f>
        <v>#N/A</v>
      </c>
      <c r="K4" s="138" t="e">
        <f>IF(Portfolios!$J$11="no",NA(),IF(IF(Portfolios!$J$10="no",'AC3'!AB4,'AC3'!AH4)=0,NA(),IF(Portfolios!$J$10="no",AB4,AH4)))</f>
        <v>#N/A</v>
      </c>
      <c r="L4" s="138" t="e">
        <f>IF(Portfolios!$J$11="no",NA(),IF(IF(Portfolios!$J$10="no",'AC3'!AC4,'AC3'!AI4)=0,NA(),IF(Portfolios!$J$10="no",AC4,AI4)))</f>
        <v>#N/A</v>
      </c>
      <c r="M4" s="138" t="e">
        <f>IF(Portfolios!$J$11="no",NA(),IF(IF(Portfolios!$J$10="no",'AC3'!AD4,'AC3'!AJ4)=0,NA(),IF(Portfolios!$J$10="no",AD4,AJ4)))</f>
        <v>#N/A</v>
      </c>
      <c r="N4" s="92">
        <f>G4-'Risk Factors'!J4</f>
        <v>7.1128908747434619E-2</v>
      </c>
      <c r="O4" s="260">
        <f>HLOOKUP(O$1,'Asset Returns'!$F$1:$N$109,ROW(),0)-'Risk Factors'!$J4</f>
        <v>7.3153013193607327E-2</v>
      </c>
      <c r="P4" s="260">
        <f>HLOOKUP(P$1,'Asset Returns'!$F$1:$N$109,ROW(),0)-'Risk Factors'!$J4</f>
        <v>9.3896740877628324E-2</v>
      </c>
      <c r="Q4" s="260">
        <f>HLOOKUP(Q$1,'Asset Returns'!$F$1:$N$109,ROW(),0)-'Risk Factors'!$J4</f>
        <v>9.9321888589859006E-2</v>
      </c>
      <c r="R4" s="260">
        <f>HLOOKUP(R$1,'Asset Returns'!$F$1:$N$109,ROW(),0)-'Risk Factors'!$J4</f>
        <v>7.6509976589679715E-2</v>
      </c>
      <c r="S4" s="260">
        <f>HLOOKUP(S$1,'Asset Returns'!$F$1:$N$109,ROW(),0)-'Risk Factors'!$J4</f>
        <v>8.3718689322471625E-3</v>
      </c>
      <c r="T4" s="260">
        <f>HLOOKUP(T$1,'Asset Returns'!$F$1:$N$109,ROW(),0)*Portfolios!$G$10</f>
        <v>7.3253013193607334E-3</v>
      </c>
      <c r="U4" s="260">
        <f>HLOOKUP(U$1,'Asset Returns'!$F$1:$N$109,ROW(),0)*Portfolios!$G$11</f>
        <v>9.3996740877628337E-3</v>
      </c>
      <c r="V4" s="260">
        <f>HLOOKUP(V$1,'Asset Returns'!$F$1:$N$109,ROW(),0)*Portfolios!$G$12</f>
        <v>2.9826566576957703E-2</v>
      </c>
      <c r="W4" s="260">
        <f>HLOOKUP(W$1,'Asset Returns'!$F$1:$N$109,ROW(),0)*Portfolios!$G$13</f>
        <v>2.2982992976903916E-2</v>
      </c>
      <c r="X4" s="260">
        <f>HLOOKUP(X$1,'Asset Returns'!$F$1:$N$109,ROW(),0)*Portfolios!$G$14</f>
        <v>1.6943737864494319E-3</v>
      </c>
      <c r="Y4" s="138">
        <f>Portfolios!$R$34</f>
        <v>-0.68211369708646341</v>
      </c>
      <c r="Z4" s="138">
        <f>Portfolios!$P$11</f>
        <v>0.9378377404978776</v>
      </c>
      <c r="AA4" s="138">
        <f>Portfolios!$P$12</f>
        <v>0.64097224418739052</v>
      </c>
      <c r="AB4" s="138">
        <f>Portfolios!$P$13</f>
        <v>-2.1312105104673718</v>
      </c>
      <c r="AC4" s="138">
        <f>Portfolios!$P$14</f>
        <v>-0.78557102570241866</v>
      </c>
      <c r="AD4" s="138">
        <f>Portfolios!$P$15</f>
        <v>0.17519882647973573</v>
      </c>
      <c r="AL4" s="343">
        <f>AL3*(1+O4+'Risk Factors'!$J4)</f>
        <v>9.9067587078803906E-2</v>
      </c>
      <c r="AM4" s="343">
        <f>AM3*(1+P4+'Risk Factors'!$J4)</f>
        <v>9.9211265799508966E-2</v>
      </c>
      <c r="AN4" s="343">
        <f>AN3*(1+Q4+'Risk Factors'!$J4)</f>
        <v>0.2663129363212558</v>
      </c>
      <c r="AO4" s="343">
        <f>AO3*(1+R4+'Risk Factors'!$J4)</f>
        <v>0.29039383076864828</v>
      </c>
      <c r="AP4" s="343">
        <f>AP3*(1+S4+'Risk Factors'!$J4)</f>
        <v>0.19681584467461305</v>
      </c>
      <c r="AR4" s="343">
        <f t="shared" si="3"/>
        <v>0.10408429778575691</v>
      </c>
      <c r="AS4" s="343">
        <f t="shared" si="4"/>
        <v>0.10423525229259724</v>
      </c>
      <c r="AT4" s="343">
        <f t="shared" si="5"/>
        <v>0.27979883012807877</v>
      </c>
      <c r="AU4" s="343">
        <f t="shared" si="6"/>
        <v>0.30509916359250455</v>
      </c>
      <c r="AV4" s="343">
        <f t="shared" si="7"/>
        <v>0.20678245620106239</v>
      </c>
      <c r="AW4" s="418">
        <f t="shared" si="8"/>
        <v>0.95180146464283011</v>
      </c>
      <c r="AX4" s="343">
        <f t="shared" ref="AX4:AX67" si="11">AW4/AW3-1</f>
        <v>6.9301499998737359E-2</v>
      </c>
      <c r="AZ4" s="421">
        <v>40268</v>
      </c>
      <c r="BA4" s="92">
        <f>HLOOKUP(BA$1,'AC4'!$F$1:$AC$109,ROW(),0)*'Management and Hedging'!$G$10</f>
        <v>9.8199599999999991E-3</v>
      </c>
      <c r="BB4" s="92">
        <f>HLOOKUP(BB$1,'AC4'!$F$1:$AC$109,ROW(),0)*'Management and Hedging'!$G$11</f>
        <v>7.945751087188721E-2</v>
      </c>
      <c r="BC4" s="92">
        <f>IF('Management and Hedging'!$G$13="yes",BA4+BB4,CQ4)</f>
        <v>8.9277470871887213E-2</v>
      </c>
      <c r="BD4" s="138" t="e">
        <f>IF(IF('Management and Hedging'!$J$10="no",BL4,BO4)=0,NA(),IF('Management and Hedging'!$J$10="no",BL4,BO4))</f>
        <v>#N/A</v>
      </c>
      <c r="BE4" s="138" t="e">
        <f>IF(IF('Management and Hedging'!$J$10="no",BM4,BP4)=0,NA(),IF('Management and Hedging'!$J$10="no",BM4,BP4))</f>
        <v>#N/A</v>
      </c>
      <c r="BF4" s="138" t="e">
        <f>IF(IF('Management and Hedging'!$J$10="no",BN4,BQ4)=0,NA(),IF('Management and Hedging'!$J$10="no",BN4,BQ4))</f>
        <v>#N/A</v>
      </c>
      <c r="BG4" s="92">
        <f>IF('Management and Hedging'!$G$13="yes",BH4+BI4,CQ4)</f>
        <v>8.9377470871887202E-2</v>
      </c>
      <c r="BH4" s="92">
        <f>HLOOKUP(BH$1,'Asset Returns'!$F$1:$ZY$109,ROW(),0)*'Management and Hedging'!$G$10</f>
        <v>9.83996E-3</v>
      </c>
      <c r="BI4" s="92">
        <f>HLOOKUP(BI$1,'Asset Returns'!$F$1:$ZY$109,ROW(),0)*'Management and Hedging'!$G$11</f>
        <v>7.9537510871887207E-2</v>
      </c>
      <c r="BJ4" s="92">
        <f>HLOOKUP(BJ$1,'AC4'!$F$1:$AC$109,ROW(),0)</f>
        <v>4.9099799999999992E-2</v>
      </c>
      <c r="BK4" s="92">
        <f>HLOOKUP(BK$1,'AC4'!$F$1:$AC$109,ROW(),0)</f>
        <v>9.9321888589859006E-2</v>
      </c>
      <c r="BL4" s="138">
        <f ca="1">'Management and Hedging'!$R$34</f>
        <v>2.5919346055080732</v>
      </c>
      <c r="BM4" s="138">
        <f ca="1">'Management and Hedging'!$R$36</f>
        <v>-2.1312105104673718</v>
      </c>
      <c r="BN4" s="138">
        <f>'Management and Hedging'!$R$38</f>
        <v>-1.1865814872722835</v>
      </c>
      <c r="BR4" s="208"/>
      <c r="BS4" s="208"/>
      <c r="BT4" s="208"/>
      <c r="BU4" s="208"/>
      <c r="BV4" s="208"/>
      <c r="BW4" s="208"/>
      <c r="BX4" s="208"/>
      <c r="BY4" s="208"/>
      <c r="BZ4" s="208"/>
      <c r="CA4" s="208"/>
      <c r="CB4" s="208"/>
      <c r="CC4" s="208"/>
      <c r="CD4" s="208"/>
      <c r="CE4" s="208"/>
      <c r="CF4" s="208"/>
      <c r="CG4" s="208"/>
      <c r="CH4" s="208"/>
      <c r="CI4" s="208"/>
      <c r="CJ4" s="208"/>
      <c r="CK4" s="343">
        <f>CK3*(1+BA4+'Risk Factors'!$J4)</f>
        <v>0.20092886241873456</v>
      </c>
      <c r="CL4" s="343">
        <f>CL3*(1+BB4+'Risk Factors'!$J4)</f>
        <v>0.72923192932424741</v>
      </c>
      <c r="CN4" s="343">
        <f t="shared" si="9"/>
        <v>0.2160151924294981</v>
      </c>
      <c r="CO4" s="343">
        <f t="shared" ref="CO4:CO66" si="12">CL4/SUM($CK4:$CL4)</f>
        <v>0.78398480757050193</v>
      </c>
      <c r="CP4" s="418">
        <f t="shared" si="10"/>
        <v>0.93016079174298194</v>
      </c>
      <c r="CQ4" s="343">
        <f t="shared" ref="CQ4:CQ67" si="13">CP4/CP3-1</f>
        <v>6.3713486745321513E-2</v>
      </c>
      <c r="CS4" s="92" t="s">
        <v>278</v>
      </c>
      <c r="CT4" s="183">
        <v>0.47</v>
      </c>
      <c r="CU4" s="183">
        <v>0.65</v>
      </c>
      <c r="CV4" s="183">
        <v>0.87</v>
      </c>
      <c r="CW4" s="183">
        <v>0.2</v>
      </c>
      <c r="CX4" s="183">
        <v>0.4</v>
      </c>
      <c r="CY4" s="260">
        <v>0.18</v>
      </c>
      <c r="CZ4" s="260">
        <v>0.44</v>
      </c>
      <c r="DB4" s="214" t="s">
        <v>165</v>
      </c>
      <c r="DC4" s="183">
        <f>VLOOKUP(DB18,DB20:DF28,2,0)</f>
        <v>0.51612665543499958</v>
      </c>
      <c r="DD4" s="183">
        <f>VLOOKUP(DB18,DB20:DF28,3,0)</f>
        <v>0.39176335406807067</v>
      </c>
      <c r="DE4" s="183">
        <f>VLOOKUP(DB18,DB20:DF28,4,0)</f>
        <v>0.16730698534897953</v>
      </c>
      <c r="DF4" s="183">
        <f>VLOOKUP(DB18,DB20:DF28,5,0)</f>
        <v>0.42513469588198427</v>
      </c>
      <c r="DG4" s="260"/>
      <c r="DH4" s="260"/>
      <c r="DI4" s="260"/>
    </row>
    <row r="5" spans="5:114">
      <c r="F5" s="421">
        <v>40298</v>
      </c>
      <c r="G5" s="92">
        <f>IF(Portfolios!$G$16="yes",SUM(T5:X5),AX5)</f>
        <v>3.9506648946553473E-2</v>
      </c>
      <c r="H5" s="138" t="e">
        <f>IF(IF(Portfolios!$J$10="no",'AC3'!Y5,'AC3'!AE5)=0,NA(),IF(Portfolios!$J$10="no",Y5,AE5))</f>
        <v>#N/A</v>
      </c>
      <c r="I5" s="138" t="e">
        <f>IF(Portfolios!$J$11="no",NA(),IF(IF(Portfolios!$J$10="no",'AC3'!Z5,'AC3'!AF5)=0,NA(),IF(Portfolios!$J$10="no",Z5,AF5)))</f>
        <v>#N/A</v>
      </c>
      <c r="J5" s="138" t="e">
        <f>IF(Portfolios!$J$11="no",NA(),IF(IF(Portfolios!$J$10="no",'AC3'!AA5,'AC3'!AG5)=0,NA(),IF(Portfolios!$J$10="no",AA5,AG5)))</f>
        <v>#N/A</v>
      </c>
      <c r="K5" s="138" t="e">
        <f>IF(Portfolios!$J$11="no",NA(),IF(IF(Portfolios!$J$10="no",'AC3'!AB5,'AC3'!AH5)=0,NA(),IF(Portfolios!$J$10="no",AB5,AH5)))</f>
        <v>#N/A</v>
      </c>
      <c r="L5" s="138" t="e">
        <f>IF(Portfolios!$J$11="no",NA(),IF(IF(Portfolios!$J$10="no",'AC3'!AC5,'AC3'!AI5)=0,NA(),IF(Portfolios!$J$10="no",AC5,AI5)))</f>
        <v>#N/A</v>
      </c>
      <c r="M5" s="138" t="e">
        <f>IF(Portfolios!$J$11="no",NA(),IF(IF(Portfolios!$J$10="no",'AC3'!AD5,'AC3'!AJ5)=0,NA(),IF(Portfolios!$J$10="no",AD5,AJ5)))</f>
        <v>#N/A</v>
      </c>
      <c r="N5" s="92">
        <f>G5-'Risk Factors'!J5</f>
        <v>3.940664894655347E-2</v>
      </c>
      <c r="O5" s="260">
        <f>HLOOKUP(O$1,'Asset Returns'!$F$1:$N$109,ROW(),0)-'Risk Factors'!$J5</f>
        <v>-6.8671537733078006E-2</v>
      </c>
      <c r="P5" s="260">
        <f>HLOOKUP(P$1,'Asset Returns'!$F$1:$N$109,ROW(),0)-'Risk Factors'!$J5</f>
        <v>0.16533342173099519</v>
      </c>
      <c r="Q5" s="260">
        <f>HLOOKUP(Q$1,'Asset Returns'!$F$1:$N$109,ROW(),0)-'Risk Factors'!$J5</f>
        <v>0.12286680361032486</v>
      </c>
      <c r="R5" s="260">
        <f>HLOOKUP(R$1,'Asset Returns'!$F$1:$N$109,ROW(),0)-'Risk Factors'!$J5</f>
        <v>-2.7497241443395614E-2</v>
      </c>
      <c r="S5" s="260">
        <f>HLOOKUP(S$1,'Asset Returns'!$F$1:$N$109,ROW(),0)-'Risk Factors'!$J5</f>
        <v>5.6479594834148881E-3</v>
      </c>
      <c r="T5" s="260">
        <f>HLOOKUP(T$1,'Asset Returns'!$F$1:$N$109,ROW(),0)*Portfolios!$G$10</f>
        <v>-6.857153773307801E-3</v>
      </c>
      <c r="U5" s="260">
        <f>HLOOKUP(U$1,'Asset Returns'!$F$1:$N$109,ROW(),0)*Portfolios!$G$11</f>
        <v>1.654334217309952E-2</v>
      </c>
      <c r="V5" s="260">
        <f>HLOOKUP(V$1,'Asset Returns'!$F$1:$N$109,ROW(),0)*Portfolios!$G$12</f>
        <v>3.6890041083097458E-2</v>
      </c>
      <c r="W5" s="260">
        <f>HLOOKUP(W$1,'Asset Returns'!$F$1:$N$109,ROW(),0)*Portfolios!$G$13</f>
        <v>-8.2191724330186837E-3</v>
      </c>
      <c r="X5" s="260">
        <f>HLOOKUP(X$1,'Asset Returns'!$F$1:$N$109,ROW(),0)*Portfolios!$G$14</f>
        <v>1.1495918966829774E-3</v>
      </c>
      <c r="Y5" s="138">
        <f>Portfolios!$R$34</f>
        <v>-0.68211369708646341</v>
      </c>
      <c r="Z5" s="138">
        <f>Portfolios!$P$11</f>
        <v>0.9378377404978776</v>
      </c>
      <c r="AA5" s="138">
        <f>Portfolios!$P$12</f>
        <v>0.64097224418739052</v>
      </c>
      <c r="AB5" s="138">
        <f>Portfolios!$P$13</f>
        <v>-2.1312105104673718</v>
      </c>
      <c r="AC5" s="138">
        <f>Portfolios!$P$14</f>
        <v>-0.78557102570241866</v>
      </c>
      <c r="AD5" s="138">
        <f>Portfolios!$P$15</f>
        <v>0.17519882647973573</v>
      </c>
      <c r="AL5" s="343">
        <f>AL4*(1+O5+'Risk Factors'!$J5)</f>
        <v>9.2274370293304708E-2</v>
      </c>
      <c r="AM5" s="343">
        <f>AM4*(1+P5+'Risk Factors'!$J5)</f>
        <v>0.11562412497498499</v>
      </c>
      <c r="AN5" s="343">
        <f>AN4*(1+Q5+'Risk Factors'!$J5)</f>
        <v>0.29906058686076059</v>
      </c>
      <c r="AO5" s="343">
        <f>AO4*(1+R5+'Risk Factors'!$J5)</f>
        <v>0.28243784087340706</v>
      </c>
      <c r="AP5" s="343">
        <f>AP4*(1+S5+'Risk Factors'!$J5)</f>
        <v>0.19794713417549681</v>
      </c>
      <c r="AR5" s="343">
        <f t="shared" si="3"/>
        <v>9.3457158750765254E-2</v>
      </c>
      <c r="AS5" s="343">
        <f t="shared" si="4"/>
        <v>0.11710621453018524</v>
      </c>
      <c r="AT5" s="343">
        <f t="shared" si="5"/>
        <v>0.30289399595470434</v>
      </c>
      <c r="AU5" s="343">
        <f t="shared" si="6"/>
        <v>0.28605817680280199</v>
      </c>
      <c r="AV5" s="343">
        <f t="shared" si="7"/>
        <v>0.20048445396154319</v>
      </c>
      <c r="AW5" s="418">
        <f t="shared" si="8"/>
        <v>0.98734405717795415</v>
      </c>
      <c r="AX5" s="343">
        <f t="shared" si="11"/>
        <v>3.7342443624481803E-2</v>
      </c>
      <c r="AZ5" s="421">
        <v>40298</v>
      </c>
      <c r="BA5" s="92">
        <f>HLOOKUP(BA$1,'AC4'!$F$1:$AC$109,ROW(),0)*'Management and Hedging'!$G$10</f>
        <v>1.9641020000000002E-2</v>
      </c>
      <c r="BB5" s="92">
        <f>HLOOKUP(BB$1,'AC4'!$F$1:$AC$109,ROW(),0)*'Management and Hedging'!$G$11</f>
        <v>9.8293442888259891E-2</v>
      </c>
      <c r="BC5" s="92">
        <f>IF('Management and Hedging'!$G$13="yes",BA5+BB5,CQ5)</f>
        <v>0.1179344628882599</v>
      </c>
      <c r="BD5" s="138" t="e">
        <f>IF(IF('Management and Hedging'!$J$10="no",BL5,BO5)=0,NA(),IF('Management and Hedging'!$J$10="no",BL5,BO5))</f>
        <v>#N/A</v>
      </c>
      <c r="BE5" s="138" t="e">
        <f>IF(IF('Management and Hedging'!$J$10="no",BM5,BP5)=0,NA(),IF('Management and Hedging'!$J$10="no",BM5,BP5))</f>
        <v>#N/A</v>
      </c>
      <c r="BF5" s="138" t="e">
        <f>IF(IF('Management and Hedging'!$J$10="no",BN5,BQ5)=0,NA(),IF('Management and Hedging'!$J$10="no",BN5,BQ5))</f>
        <v>#N/A</v>
      </c>
      <c r="BG5" s="92">
        <f>IF('Management and Hedging'!$G$13="yes",BH5+BI5,CQ5)</f>
        <v>0.11803446288825989</v>
      </c>
      <c r="BH5" s="92">
        <f>HLOOKUP(BH$1,'Asset Returns'!$F$1:$ZY$109,ROW(),0)*'Management and Hedging'!$G$10</f>
        <v>1.9661020000000001E-2</v>
      </c>
      <c r="BI5" s="92">
        <f>HLOOKUP(BI$1,'Asset Returns'!$F$1:$ZY$109,ROW(),0)*'Management and Hedging'!$G$11</f>
        <v>9.8373442888259888E-2</v>
      </c>
      <c r="BJ5" s="92">
        <f>HLOOKUP(BJ$1,'AC4'!$F$1:$AC$109,ROW(),0)</f>
        <v>9.8205100000000004E-2</v>
      </c>
      <c r="BK5" s="92">
        <f>HLOOKUP(BK$1,'AC4'!$F$1:$AC$109,ROW(),0)</f>
        <v>0.12286680361032486</v>
      </c>
      <c r="BL5" s="138">
        <f ca="1">'Management and Hedging'!$R$34</f>
        <v>2.5919346055080732</v>
      </c>
      <c r="BM5" s="138">
        <f ca="1">'Management and Hedging'!$R$36</f>
        <v>-2.1312105104673718</v>
      </c>
      <c r="BN5" s="138">
        <f>'Management and Hedging'!$R$38</f>
        <v>-1.1865814872722835</v>
      </c>
      <c r="BR5" s="208"/>
      <c r="BS5" s="208"/>
      <c r="BT5" s="208"/>
      <c r="BU5" s="208"/>
      <c r="BV5" s="208"/>
      <c r="BW5" s="208"/>
      <c r="BX5" s="208"/>
      <c r="BY5" s="208"/>
      <c r="BZ5" s="208"/>
      <c r="CA5" s="208"/>
      <c r="CB5" s="208"/>
      <c r="CC5" s="208"/>
      <c r="CD5" s="208"/>
      <c r="CE5" s="208"/>
      <c r="CF5" s="208"/>
      <c r="CG5" s="208"/>
      <c r="CH5" s="208"/>
      <c r="CI5" s="208"/>
      <c r="CJ5" s="208"/>
      <c r="CK5" s="343">
        <f>CK4*(1+BA5+'Risk Factors'!$J5)</f>
        <v>0.20489540311032003</v>
      </c>
      <c r="CL5" s="343">
        <f>CL4*(1+BB5+'Risk Factors'!$J5)</f>
        <v>0.80098356951450822</v>
      </c>
      <c r="CN5" s="343">
        <f t="shared" si="9"/>
        <v>0.20369786891523153</v>
      </c>
      <c r="CO5" s="343">
        <f t="shared" si="12"/>
        <v>0.79630213108476844</v>
      </c>
      <c r="CP5" s="418">
        <f t="shared" si="10"/>
        <v>1.0058789726248283</v>
      </c>
      <c r="CQ5" s="343">
        <f t="shared" si="13"/>
        <v>8.1403324623006146E-2</v>
      </c>
      <c r="CS5" s="92" t="s">
        <v>264</v>
      </c>
      <c r="CT5" s="183">
        <f>CT3*$CS$8+CT4*(1-$CS$8)</f>
        <v>1.4999999999999986E-2</v>
      </c>
      <c r="CU5" s="183">
        <f t="shared" ref="CU5:CZ5" si="14">CU3*$CS$8+CU4*(1-$CS$8)</f>
        <v>0.65</v>
      </c>
      <c r="CV5" s="183">
        <f t="shared" si="14"/>
        <v>0.88</v>
      </c>
      <c r="CW5" s="183">
        <f t="shared" si="14"/>
        <v>0.21000000000000002</v>
      </c>
      <c r="CX5" s="183">
        <f t="shared" si="14"/>
        <v>0.44</v>
      </c>
      <c r="CY5" s="260">
        <f t="shared" si="14"/>
        <v>0.185</v>
      </c>
      <c r="CZ5" s="260">
        <f t="shared" si="14"/>
        <v>0.41500000000000004</v>
      </c>
      <c r="DB5" s="214"/>
      <c r="DC5" s="333"/>
      <c r="DD5" s="333"/>
      <c r="DE5" s="334"/>
      <c r="DF5" s="334"/>
      <c r="DG5" s="260"/>
      <c r="DH5" s="260"/>
      <c r="DI5" s="260"/>
    </row>
    <row r="6" spans="5:114">
      <c r="F6" s="421">
        <v>40329</v>
      </c>
      <c r="G6" s="92">
        <f>IF(Portfolios!$G$16="yes",SUM(T6:X6),AX6)</f>
        <v>-0.12882171608507634</v>
      </c>
      <c r="H6" s="138" t="e">
        <f>IF(IF(Portfolios!$J$10="no",'AC3'!Y6,'AC3'!AE6)=0,NA(),IF(Portfolios!$J$10="no",Y6,AE6))</f>
        <v>#N/A</v>
      </c>
      <c r="I6" s="138" t="e">
        <f>IF(Portfolios!$J$11="no",NA(),IF(IF(Portfolios!$J$10="no",'AC3'!Z6,'AC3'!AF6)=0,NA(),IF(Portfolios!$J$10="no",Z6,AF6)))</f>
        <v>#N/A</v>
      </c>
      <c r="J6" s="138" t="e">
        <f>IF(Portfolios!$J$11="no",NA(),IF(IF(Portfolios!$J$10="no",'AC3'!AA6,'AC3'!AG6)=0,NA(),IF(Portfolios!$J$10="no",AA6,AG6)))</f>
        <v>#N/A</v>
      </c>
      <c r="K6" s="138" t="e">
        <f>IF(Portfolios!$J$11="no",NA(),IF(IF(Portfolios!$J$10="no",'AC3'!AB6,'AC3'!AH6)=0,NA(),IF(Portfolios!$J$10="no",AB6,AH6)))</f>
        <v>#N/A</v>
      </c>
      <c r="L6" s="138" t="e">
        <f>IF(Portfolios!$J$11="no",NA(),IF(IF(Portfolios!$J$10="no",'AC3'!AC6,'AC3'!AI6)=0,NA(),IF(Portfolios!$J$10="no",AC6,AI6)))</f>
        <v>#N/A</v>
      </c>
      <c r="M6" s="138" t="e">
        <f>IF(Portfolios!$J$11="no",NA(),IF(IF(Portfolios!$J$10="no",'AC3'!AD6,'AC3'!AJ6)=0,NA(),IF(Portfolios!$J$10="no",AD6,AJ6)))</f>
        <v>#N/A</v>
      </c>
      <c r="N6" s="92">
        <f>G6-'Risk Factors'!J6</f>
        <v>-0.12892171608507633</v>
      </c>
      <c r="O6" s="260">
        <f>HLOOKUP(O$1,'Asset Returns'!$F$1:$N$109,ROW(),0)-'Risk Factors'!$J6</f>
        <v>-0.18406106362342833</v>
      </c>
      <c r="P6" s="260">
        <f>HLOOKUP(P$1,'Asset Returns'!$F$1:$N$109,ROW(),0)-'Risk Factors'!$J6</f>
        <v>-0.17238613793849944</v>
      </c>
      <c r="Q6" s="260">
        <f>HLOOKUP(Q$1,'Asset Returns'!$F$1:$N$109,ROW(),0)-'Risk Factors'!$J6</f>
        <v>-0.21885545382499694</v>
      </c>
      <c r="R6" s="260">
        <f>HLOOKUP(R$1,'Asset Returns'!$F$1:$N$109,ROW(),0)-'Risk Factors'!$J6</f>
        <v>-7.6001865959167483E-2</v>
      </c>
      <c r="S6" s="260">
        <f>HLOOKUP(S$1,'Asset Returns'!$F$1:$N$109,ROW(),0)-'Risk Factors'!$J6</f>
        <v>-2.4098999968171119E-2</v>
      </c>
      <c r="T6" s="260">
        <f>HLOOKUP(T$1,'Asset Returns'!$F$1:$N$109,ROW(),0)*Portfolios!$G$10</f>
        <v>-1.8396106362342835E-2</v>
      </c>
      <c r="U6" s="260">
        <f>HLOOKUP(U$1,'Asset Returns'!$F$1:$N$109,ROW(),0)*Portfolios!$G$11</f>
        <v>-1.7228613793849944E-2</v>
      </c>
      <c r="V6" s="260">
        <f>HLOOKUP(V$1,'Asset Returns'!$F$1:$N$109,ROW(),0)*Portfolios!$G$12</f>
        <v>-6.5626636147499084E-2</v>
      </c>
      <c r="W6" s="260">
        <f>HLOOKUP(W$1,'Asset Returns'!$F$1:$N$109,ROW(),0)*Portfolios!$G$13</f>
        <v>-2.2770559787750243E-2</v>
      </c>
      <c r="X6" s="260">
        <f>HLOOKUP(X$1,'Asset Returns'!$F$1:$N$109,ROW(),0)*Portfolios!$G$14</f>
        <v>-4.7997999936342231E-3</v>
      </c>
      <c r="Y6" s="138">
        <f>Portfolios!$R$34</f>
        <v>-0.68211369708646341</v>
      </c>
      <c r="Z6" s="138">
        <f>Portfolios!$P$11</f>
        <v>0.9378377404978776</v>
      </c>
      <c r="AA6" s="138">
        <f>Portfolios!$P$12</f>
        <v>0.64097224418739052</v>
      </c>
      <c r="AB6" s="138">
        <f>Portfolios!$P$13</f>
        <v>-2.1312105104673718</v>
      </c>
      <c r="AC6" s="138">
        <f>Portfolios!$P$14</f>
        <v>-0.78557102570241866</v>
      </c>
      <c r="AD6" s="138">
        <f>Portfolios!$P$15</f>
        <v>0.17519882647973573</v>
      </c>
      <c r="AL6" s="343">
        <f>AL5*(1+O6+'Risk Factors'!$J6)</f>
        <v>7.5299478988966301E-2</v>
      </c>
      <c r="AM6" s="343">
        <f>AM5*(1+P6+'Risk Factors'!$J6)</f>
        <v>9.5703691030526422E-2</v>
      </c>
      <c r="AN6" s="343">
        <f>AN5*(1+Q6+'Risk Factors'!$J6)</f>
        <v>0.23363945246086498</v>
      </c>
      <c r="AO6" s="343">
        <f>AO5*(1+R6+'Risk Factors'!$J6)</f>
        <v>0.26100028173363704</v>
      </c>
      <c r="AP6" s="343">
        <f>AP5*(1+S6+'Risk Factors'!$J6)</f>
        <v>0.19319660090871948</v>
      </c>
      <c r="AR6" s="343">
        <f t="shared" si="3"/>
        <v>8.7675844601730599E-2</v>
      </c>
      <c r="AS6" s="343">
        <f t="shared" si="4"/>
        <v>0.11143373175044145</v>
      </c>
      <c r="AT6" s="343">
        <f t="shared" si="5"/>
        <v>0.27204087733188481</v>
      </c>
      <c r="AU6" s="343">
        <f t="shared" si="6"/>
        <v>0.30389878455386649</v>
      </c>
      <c r="AV6" s="343">
        <f t="shared" si="7"/>
        <v>0.22495076176207662</v>
      </c>
      <c r="AW6" s="418">
        <f t="shared" si="8"/>
        <v>0.85883950512271423</v>
      </c>
      <c r="AX6" s="343">
        <f t="shared" si="11"/>
        <v>-0.13015174509940752</v>
      </c>
      <c r="AZ6" s="421">
        <v>40329</v>
      </c>
      <c r="BA6" s="92">
        <f>HLOOKUP(BA$1,'AC4'!$F$1:$AC$109,ROW(),0)*'Management and Hedging'!$G$10</f>
        <v>-1.5760740000000002E-2</v>
      </c>
      <c r="BB6" s="92">
        <f>HLOOKUP(BB$1,'AC4'!$F$1:$AC$109,ROW(),0)*'Management and Hedging'!$G$11</f>
        <v>-0.17508436305999756</v>
      </c>
      <c r="BC6" s="92">
        <f>IF('Management and Hedging'!$G$13="yes",BA6+BB6,CQ6)</f>
        <v>-0.19084510305999755</v>
      </c>
      <c r="BD6" s="138" t="e">
        <f>IF(IF('Management and Hedging'!$J$10="no",BL6,BO6)=0,NA(),IF('Management and Hedging'!$J$10="no",BL6,BO6))</f>
        <v>#N/A</v>
      </c>
      <c r="BE6" s="138" t="e">
        <f>IF(IF('Management and Hedging'!$J$10="no",BM6,BP6)=0,NA(),IF('Management and Hedging'!$J$10="no",BM6,BP6))</f>
        <v>#N/A</v>
      </c>
      <c r="BF6" s="138" t="e">
        <f>IF(IF('Management and Hedging'!$J$10="no",BN6,BQ6)=0,NA(),IF('Management and Hedging'!$J$10="no",BN6,BQ6))</f>
        <v>#N/A</v>
      </c>
      <c r="BG6" s="92">
        <f>IF('Management and Hedging'!$G$13="yes",BH6+BI6,CQ6)</f>
        <v>-0.19074510305999756</v>
      </c>
      <c r="BH6" s="92">
        <f>HLOOKUP(BH$1,'Asset Returns'!$F$1:$ZY$109,ROW(),0)*'Management and Hedging'!$G$10</f>
        <v>-1.574074E-2</v>
      </c>
      <c r="BI6" s="92">
        <f>HLOOKUP(BI$1,'Asset Returns'!$F$1:$ZY$109,ROW(),0)*'Management and Hedging'!$G$11</f>
        <v>-0.17500436305999756</v>
      </c>
      <c r="BJ6" s="92">
        <f>HLOOKUP(BJ$1,'AC4'!$F$1:$AC$109,ROW(),0)</f>
        <v>-7.8803700000000004E-2</v>
      </c>
      <c r="BK6" s="92">
        <f>HLOOKUP(BK$1,'AC4'!$F$1:$AC$109,ROW(),0)</f>
        <v>-0.21885545382499694</v>
      </c>
      <c r="BL6" s="138">
        <f ca="1">'Management and Hedging'!$R$34</f>
        <v>2.5919346055080732</v>
      </c>
      <c r="BM6" s="138">
        <f ca="1">'Management and Hedging'!$R$36</f>
        <v>-2.1312105104673718</v>
      </c>
      <c r="BN6" s="138">
        <f>'Management and Hedging'!$R$38</f>
        <v>-1.1865814872722835</v>
      </c>
      <c r="BR6" s="208"/>
      <c r="BS6" s="208"/>
      <c r="BT6" s="208"/>
      <c r="BU6" s="208"/>
      <c r="BV6" s="208"/>
      <c r="BW6" s="208"/>
      <c r="BX6" s="208"/>
      <c r="BY6" s="208"/>
      <c r="BZ6" s="208"/>
      <c r="CA6" s="208"/>
      <c r="CB6" s="208"/>
      <c r="CC6" s="208"/>
      <c r="CD6" s="208"/>
      <c r="CE6" s="208"/>
      <c r="CF6" s="208"/>
      <c r="CG6" s="208"/>
      <c r="CH6" s="208"/>
      <c r="CI6" s="208"/>
      <c r="CJ6" s="208"/>
      <c r="CK6" s="343">
        <f>CK5*(1+BA6+'Risk Factors'!$J6)</f>
        <v>0.20168658947501411</v>
      </c>
      <c r="CL6" s="343">
        <f>CL5*(1+BB6+'Risk Factors'!$J6)</f>
        <v>0.66082396978148872</v>
      </c>
      <c r="CN6" s="343">
        <f t="shared" si="9"/>
        <v>0.23383666125649641</v>
      </c>
      <c r="CO6" s="343">
        <f t="shared" si="12"/>
        <v>0.76616333874350362</v>
      </c>
      <c r="CP6" s="418">
        <f t="shared" si="10"/>
        <v>0.86251055925650277</v>
      </c>
      <c r="CQ6" s="343">
        <f t="shared" si="13"/>
        <v>-0.14253048057482254</v>
      </c>
      <c r="CS6" s="361" t="s">
        <v>280</v>
      </c>
      <c r="CT6" s="260"/>
      <c r="CU6" s="260"/>
      <c r="CV6" s="260"/>
      <c r="CW6" s="260"/>
      <c r="CX6" s="260"/>
      <c r="CY6" s="260"/>
      <c r="CZ6" s="260"/>
      <c r="DB6" s="335">
        <f>'Best-in-class'!K47</f>
        <v>0.5</v>
      </c>
      <c r="DC6" s="92"/>
      <c r="DD6" s="92"/>
      <c r="DE6" s="260"/>
      <c r="DF6" s="260"/>
      <c r="DG6" s="260"/>
      <c r="DH6" s="260"/>
      <c r="DI6" s="260"/>
    </row>
    <row r="7" spans="5:114">
      <c r="F7" s="421">
        <v>40359</v>
      </c>
      <c r="G7" s="92">
        <f>IF(Portfolios!$G$16="yes",SUM(T7:X7),AX7)</f>
        <v>-8.017538208514452E-2</v>
      </c>
      <c r="H7" s="138" t="e">
        <f>IF(IF(Portfolios!$J$10="no",'AC3'!Y7,'AC3'!AE7)=0,NA(),IF(Portfolios!$J$10="no",Y7,AE7))</f>
        <v>#N/A</v>
      </c>
      <c r="I7" s="138" t="e">
        <f>IF(Portfolios!$J$11="no",NA(),IF(IF(Portfolios!$J$10="no",'AC3'!Z7,'AC3'!AF7)=0,NA(),IF(Portfolios!$J$10="no",Z7,AF7)))</f>
        <v>#N/A</v>
      </c>
      <c r="J7" s="138" t="e">
        <f>IF(Portfolios!$J$11="no",NA(),IF(IF(Portfolios!$J$10="no",'AC3'!AA7,'AC3'!AG7)=0,NA(),IF(Portfolios!$J$10="no",AA7,AG7)))</f>
        <v>#N/A</v>
      </c>
      <c r="K7" s="138" t="e">
        <f>IF(Portfolios!$J$11="no",NA(),IF(IF(Portfolios!$J$10="no",'AC3'!AB7,'AC3'!AH7)=0,NA(),IF(Portfolios!$J$10="no",AB7,AH7)))</f>
        <v>#N/A</v>
      </c>
      <c r="L7" s="138" t="e">
        <f>IF(Portfolios!$J$11="no",NA(),IF(IF(Portfolios!$J$10="no",'AC3'!AC7,'AC3'!AI7)=0,NA(),IF(Portfolios!$J$10="no",AC7,AI7)))</f>
        <v>#N/A</v>
      </c>
      <c r="M7" s="138" t="e">
        <f>IF(Portfolios!$J$11="no",NA(),IF(IF(Portfolios!$J$10="no",'AC3'!AD7,'AC3'!AJ7)=0,NA(),IF(Portfolios!$J$10="no",AD7,AJ7)))</f>
        <v>#N/A</v>
      </c>
      <c r="N7" s="92">
        <f>G7-'Risk Factors'!J7</f>
        <v>-8.0275382085144523E-2</v>
      </c>
      <c r="O7" s="260">
        <f>HLOOKUP(O$1,'Asset Returns'!$F$1:$N$109,ROW(),0)-'Risk Factors'!$J7</f>
        <v>-0.33655686507225036</v>
      </c>
      <c r="P7" s="260">
        <f>HLOOKUP(P$1,'Asset Returns'!$F$1:$N$109,ROW(),0)-'Risk Factors'!$J7</f>
        <v>2.9149850660562516E-2</v>
      </c>
      <c r="Q7" s="260">
        <f>HLOOKUP(Q$1,'Asset Returns'!$F$1:$N$109,ROW(),0)-'Risk Factors'!$J7</f>
        <v>-0.12134244868755341</v>
      </c>
      <c r="R7" s="260">
        <f>HLOOKUP(R$1,'Asset Returns'!$F$1:$N$109,ROW(),0)-'Risk Factors'!$J7</f>
        <v>-3.4166189080476764E-2</v>
      </c>
      <c r="S7" s="260">
        <f>HLOOKUP(S$1,'Asset Returns'!$F$1:$N$109,ROW(),0)-'Risk Factors'!$J7</f>
        <v>-1.4410446567833423E-2</v>
      </c>
      <c r="T7" s="260">
        <f>HLOOKUP(T$1,'Asset Returns'!$F$1:$N$109,ROW(),0)*Portfolios!$G$10</f>
        <v>-3.3645686507225041E-2</v>
      </c>
      <c r="U7" s="260">
        <f>HLOOKUP(U$1,'Asset Returns'!$F$1:$N$109,ROW(),0)*Portfolios!$G$11</f>
        <v>2.9249850660562518E-3</v>
      </c>
      <c r="V7" s="260">
        <f>HLOOKUP(V$1,'Asset Returns'!$F$1:$N$109,ROW(),0)*Portfolios!$G$12</f>
        <v>-3.637273460626602E-2</v>
      </c>
      <c r="W7" s="260">
        <f>HLOOKUP(W$1,'Asset Returns'!$F$1:$N$109,ROW(),0)*Portfolios!$G$13</f>
        <v>-1.0219856724143028E-2</v>
      </c>
      <c r="X7" s="260">
        <f>HLOOKUP(X$1,'Asset Returns'!$F$1:$N$109,ROW(),0)*Portfolios!$G$14</f>
        <v>-2.8620893135666843E-3</v>
      </c>
      <c r="Y7" s="138">
        <f>Portfolios!$R$34</f>
        <v>-0.68211369708646341</v>
      </c>
      <c r="Z7" s="138">
        <f>Portfolios!$P$11</f>
        <v>0.9378377404978776</v>
      </c>
      <c r="AA7" s="138">
        <f>Portfolios!$P$12</f>
        <v>0.64097224418739052</v>
      </c>
      <c r="AB7" s="138">
        <f>Portfolios!$P$13</f>
        <v>-2.1312105104673718</v>
      </c>
      <c r="AC7" s="138">
        <f>Portfolios!$P$14</f>
        <v>-0.78557102570241866</v>
      </c>
      <c r="AD7" s="138">
        <f>Portfolios!$P$15</f>
        <v>0.17519882647973573</v>
      </c>
      <c r="AL7" s="343">
        <f>AL6*(1+O7+'Risk Factors'!$J7)</f>
        <v>4.9964452346764915E-2</v>
      </c>
      <c r="AM7" s="343">
        <f>AM6*(1+P7+'Risk Factors'!$J7)</f>
        <v>9.8503009700833935E-2</v>
      </c>
      <c r="AN7" s="343">
        <f>AN6*(1+Q7+'Risk Factors'!$J7)</f>
        <v>0.20531243313449049</v>
      </c>
      <c r="AO7" s="343">
        <f>AO6*(1+R7+'Risk Factors'!$J7)</f>
        <v>0.25210899678604126</v>
      </c>
      <c r="AP7" s="343">
        <f>AP6*(1+S7+'Risk Factors'!$J7)</f>
        <v>0.19043187127432823</v>
      </c>
      <c r="AR7" s="343">
        <f t="shared" si="3"/>
        <v>6.2744128563620091E-2</v>
      </c>
      <c r="AS7" s="343">
        <f t="shared" si="4"/>
        <v>0.12369765331717507</v>
      </c>
      <c r="AT7" s="343">
        <f t="shared" si="5"/>
        <v>0.25782629640158988</v>
      </c>
      <c r="AU7" s="343">
        <f t="shared" si="6"/>
        <v>0.3165922683712325</v>
      </c>
      <c r="AV7" s="343">
        <f t="shared" si="7"/>
        <v>0.23913965334638235</v>
      </c>
      <c r="AW7" s="418">
        <f t="shared" si="8"/>
        <v>0.79632076324245893</v>
      </c>
      <c r="AX7" s="343">
        <f t="shared" si="11"/>
        <v>-7.2794441228367091E-2</v>
      </c>
      <c r="AZ7" s="421">
        <v>40359</v>
      </c>
      <c r="BA7" s="92">
        <f>HLOOKUP(BA$1,'AC4'!$F$1:$AC$109,ROW(),0)*'Management and Hedging'!$G$10</f>
        <v>9.166E-5</v>
      </c>
      <c r="BB7" s="92">
        <f>HLOOKUP(BB$1,'AC4'!$F$1:$AC$109,ROW(),0)*'Management and Hedging'!$G$11</f>
        <v>-9.7073958950042727E-2</v>
      </c>
      <c r="BC7" s="92">
        <f>IF('Management and Hedging'!$G$13="yes",BA7+BB7,CQ7)</f>
        <v>-9.6982298950042733E-2</v>
      </c>
      <c r="BD7" s="138" t="e">
        <f>IF(IF('Management and Hedging'!$J$10="no",BL7,BO7)=0,NA(),IF('Management and Hedging'!$J$10="no",BL7,BO7))</f>
        <v>#N/A</v>
      </c>
      <c r="BE7" s="138" t="e">
        <f>IF(IF('Management and Hedging'!$J$10="no",BM7,BP7)=0,NA(),IF('Management and Hedging'!$J$10="no",BM7,BP7))</f>
        <v>#N/A</v>
      </c>
      <c r="BF7" s="138" t="e">
        <f>IF(IF('Management and Hedging'!$J$10="no",BN7,BQ7)=0,NA(),IF('Management and Hedging'!$J$10="no",BN7,BQ7))</f>
        <v>#N/A</v>
      </c>
      <c r="BG7" s="92">
        <f>IF('Management and Hedging'!$G$13="yes",BH7+BI7,CQ7)</f>
        <v>-9.6882298950042731E-2</v>
      </c>
      <c r="BH7" s="92">
        <f>HLOOKUP(BH$1,'Asset Returns'!$F$1:$ZY$109,ROW(),0)*'Management and Hedging'!$G$10</f>
        <v>1.1166E-4</v>
      </c>
      <c r="BI7" s="92">
        <f>HLOOKUP(BI$1,'Asset Returns'!$F$1:$ZY$109,ROW(),0)*'Management and Hedging'!$G$11</f>
        <v>-9.699395895004273E-2</v>
      </c>
      <c r="BJ7" s="92">
        <f>HLOOKUP(BJ$1,'AC4'!$F$1:$AC$109,ROW(),0)</f>
        <v>4.5829999999999997E-4</v>
      </c>
      <c r="BK7" s="92">
        <f>HLOOKUP(BK$1,'AC4'!$F$1:$AC$109,ROW(),0)</f>
        <v>-0.12134244868755341</v>
      </c>
      <c r="BL7" s="138">
        <f ca="1">'Management and Hedging'!$R$34</f>
        <v>2.5919346055080732</v>
      </c>
      <c r="BM7" s="138">
        <f ca="1">'Management and Hedging'!$R$36</f>
        <v>-2.1312105104673718</v>
      </c>
      <c r="BN7" s="138">
        <f>'Management and Hedging'!$R$38</f>
        <v>-1.1865814872722835</v>
      </c>
      <c r="BR7" s="208"/>
      <c r="BS7" s="208"/>
      <c r="BT7" s="208"/>
      <c r="BU7" s="208"/>
      <c r="BV7" s="208"/>
      <c r="BW7" s="208"/>
      <c r="BX7" s="208"/>
      <c r="BY7" s="208"/>
      <c r="BZ7" s="208"/>
      <c r="CA7" s="208"/>
      <c r="CB7" s="208"/>
      <c r="CC7" s="208"/>
      <c r="CD7" s="208"/>
      <c r="CE7" s="208"/>
      <c r="CF7" s="208"/>
      <c r="CG7" s="208"/>
      <c r="CH7" s="208"/>
      <c r="CI7" s="208"/>
      <c r="CJ7" s="208"/>
      <c r="CK7" s="343">
        <f>CK6*(1+BA7+'Risk Factors'!$J7)</f>
        <v>0.20172524472675291</v>
      </c>
      <c r="CL7" s="343">
        <f>CL6*(1+BB7+'Risk Factors'!$J7)</f>
        <v>0.59674125326269434</v>
      </c>
      <c r="CN7" s="343">
        <f t="shared" si="9"/>
        <v>0.25264083744866017</v>
      </c>
      <c r="CO7" s="343">
        <f t="shared" si="12"/>
        <v>0.74735916255133983</v>
      </c>
      <c r="CP7" s="418">
        <f t="shared" si="10"/>
        <v>0.79846649798944724</v>
      </c>
      <c r="CQ7" s="343">
        <f t="shared" si="13"/>
        <v>-7.4253075025843773E-2</v>
      </c>
      <c r="CS7" s="360">
        <v>50</v>
      </c>
      <c r="CT7" s="260"/>
      <c r="CU7" s="260"/>
      <c r="CV7" s="260"/>
      <c r="CW7" s="260"/>
      <c r="CX7" s="260"/>
      <c r="CY7" s="260"/>
      <c r="CZ7" s="260"/>
      <c r="DB7" s="214" t="s">
        <v>282</v>
      </c>
      <c r="DC7" s="213" t="s">
        <v>30</v>
      </c>
      <c r="DD7" s="213" t="s">
        <v>16</v>
      </c>
      <c r="DE7" s="214" t="s">
        <v>281</v>
      </c>
      <c r="DF7" s="214" t="s">
        <v>214</v>
      </c>
      <c r="DG7" s="260"/>
      <c r="DH7" s="260"/>
      <c r="DI7" s="260"/>
    </row>
    <row r="8" spans="5:114">
      <c r="F8" s="421">
        <v>40390</v>
      </c>
      <c r="G8" s="92">
        <f>IF(Portfolios!$G$16="yes",SUM(T8:X8),AX8)</f>
        <v>0.10061837807297706</v>
      </c>
      <c r="H8" s="138" t="e">
        <f>IF(IF(Portfolios!$J$10="no",'AC3'!Y8,'AC3'!AE8)=0,NA(),IF(Portfolios!$J$10="no",Y8,AE8))</f>
        <v>#N/A</v>
      </c>
      <c r="I8" s="138" t="e">
        <f>IF(Portfolios!$J$11="no",NA(),IF(IF(Portfolios!$J$10="no",'AC3'!Z8,'AC3'!AF8)=0,NA(),IF(Portfolios!$J$10="no",Z8,AF8)))</f>
        <v>#N/A</v>
      </c>
      <c r="J8" s="138" t="e">
        <f>IF(Portfolios!$J$11="no",NA(),IF(IF(Portfolios!$J$10="no",'AC3'!AA8,'AC3'!AG8)=0,NA(),IF(Portfolios!$J$10="no",AA8,AG8)))</f>
        <v>#N/A</v>
      </c>
      <c r="K8" s="138" t="e">
        <f>IF(Portfolios!$J$11="no",NA(),IF(IF(Portfolios!$J$10="no",'AC3'!AB8,'AC3'!AH8)=0,NA(),IF(Portfolios!$J$10="no",AB8,AH8)))</f>
        <v>#N/A</v>
      </c>
      <c r="L8" s="138" t="e">
        <f>IF(Portfolios!$J$11="no",NA(),IF(IF(Portfolios!$J$10="no",'AC3'!AC8,'AC3'!AI8)=0,NA(),IF(Portfolios!$J$10="no",AC8,AI8)))</f>
        <v>#N/A</v>
      </c>
      <c r="M8" s="138" t="e">
        <f>IF(Portfolios!$J$11="no",NA(),IF(IF(Portfolios!$J$10="no",'AC3'!AD8,'AC3'!AJ8)=0,NA(),IF(Portfolios!$J$10="no",AD8,AJ8)))</f>
        <v>#N/A</v>
      </c>
      <c r="N8" s="92">
        <f>G8-'Risk Factors'!J8</f>
        <v>0.10051837807297706</v>
      </c>
      <c r="O8" s="260">
        <f>HLOOKUP(O$1,'Asset Returns'!$F$1:$N$109,ROW(),0)-'Risk Factors'!$J8</f>
        <v>0.33231823315620423</v>
      </c>
      <c r="P8" s="260">
        <f>HLOOKUP(P$1,'Asset Returns'!$F$1:$N$109,ROW(),0)-'Risk Factors'!$J8</f>
        <v>8.7892705404758451E-2</v>
      </c>
      <c r="Q8" s="260">
        <f>HLOOKUP(Q$1,'Asset Returns'!$F$1:$N$109,ROW(),0)-'Risk Factors'!$J8</f>
        <v>0.15759569575786592</v>
      </c>
      <c r="R8" s="260">
        <f>HLOOKUP(R$1,'Asset Returns'!$F$1:$N$109,ROW(),0)-'Risk Factors'!$J8</f>
        <v>1.0965579950809479E-2</v>
      </c>
      <c r="S8" s="260">
        <f>HLOOKUP(S$1,'Asset Returns'!$F$1:$N$109,ROW(),0)-'Risk Factors'!$J8</f>
        <v>3.9644507521390912E-2</v>
      </c>
      <c r="T8" s="260">
        <f>HLOOKUP(T$1,'Asset Returns'!$F$1:$N$109,ROW(),0)*Portfolios!$G$10</f>
        <v>3.3241823315620422E-2</v>
      </c>
      <c r="U8" s="260">
        <f>HLOOKUP(U$1,'Asset Returns'!$F$1:$N$109,ROW(),0)*Portfolios!$G$11</f>
        <v>8.799270540475846E-3</v>
      </c>
      <c r="V8" s="260">
        <f>HLOOKUP(V$1,'Asset Returns'!$F$1:$N$109,ROW(),0)*Portfolios!$G$12</f>
        <v>4.7308708727359768E-2</v>
      </c>
      <c r="W8" s="260">
        <f>HLOOKUP(W$1,'Asset Returns'!$F$1:$N$109,ROW(),0)*Portfolios!$G$13</f>
        <v>3.3196739852428435E-3</v>
      </c>
      <c r="X8" s="260">
        <f>HLOOKUP(X$1,'Asset Returns'!$F$1:$N$109,ROW(),0)*Portfolios!$G$14</f>
        <v>7.9489015042781812E-3</v>
      </c>
      <c r="Y8" s="138">
        <f>Portfolios!$R$34</f>
        <v>-0.68211369708646341</v>
      </c>
      <c r="Z8" s="138">
        <f>Portfolios!$P$11</f>
        <v>0.9378377404978776</v>
      </c>
      <c r="AA8" s="138">
        <f>Portfolios!$P$12</f>
        <v>0.64097224418739052</v>
      </c>
      <c r="AB8" s="138">
        <f>Portfolios!$P$13</f>
        <v>-2.1312105104673718</v>
      </c>
      <c r="AC8" s="138">
        <f>Portfolios!$P$14</f>
        <v>-0.78557102570241866</v>
      </c>
      <c r="AD8" s="138">
        <f>Portfolios!$P$15</f>
        <v>0.17519882647973573</v>
      </c>
      <c r="AL8" s="343">
        <f>AL7*(1+O8+'Risk Factors'!$J8)</f>
        <v>6.657354731649387E-2</v>
      </c>
      <c r="AM8" s="343">
        <f>AM7*(1+P8+'Risk Factors'!$J8)</f>
        <v>0.10717055601492148</v>
      </c>
      <c r="AN8" s="343">
        <f>AN7*(1+Q8+'Risk Factors'!$J8)</f>
        <v>0.2376893201253743</v>
      </c>
      <c r="AO8" s="343">
        <f>AO7*(1+R8+'Risk Factors'!$J8)</f>
        <v>0.25489872904629557</v>
      </c>
      <c r="AP8" s="343">
        <f>AP7*(1+S8+'Risk Factors'!$J8)</f>
        <v>0.1980004922145033</v>
      </c>
      <c r="AR8" s="343">
        <f t="shared" si="3"/>
        <v>7.7023062501875156E-2</v>
      </c>
      <c r="AS8" s="343">
        <f t="shared" si="4"/>
        <v>0.12399225769141037</v>
      </c>
      <c r="AT8" s="343">
        <f t="shared" si="5"/>
        <v>0.27499750423407499</v>
      </c>
      <c r="AU8" s="343">
        <f t="shared" si="6"/>
        <v>0.29490813589434772</v>
      </c>
      <c r="AV8" s="343">
        <f t="shared" si="7"/>
        <v>0.22907903967829174</v>
      </c>
      <c r="AW8" s="418">
        <f t="shared" si="8"/>
        <v>0.86433264471758853</v>
      </c>
      <c r="AX8" s="343">
        <f t="shared" si="11"/>
        <v>8.540764552992286E-2</v>
      </c>
      <c r="AZ8" s="421">
        <v>40390</v>
      </c>
      <c r="BA8" s="92">
        <f>HLOOKUP(BA$1,'AC4'!$F$1:$AC$109,ROW(),0)*'Management and Hedging'!$G$10</f>
        <v>-4.8190999999999998E-3</v>
      </c>
      <c r="BB8" s="92">
        <f>HLOOKUP(BB$1,'AC4'!$F$1:$AC$109,ROW(),0)*'Management and Hedging'!$G$11</f>
        <v>0.12607655660629274</v>
      </c>
      <c r="BC8" s="92">
        <f>IF('Management and Hedging'!$G$13="yes",BA8+BB8,CQ8)</f>
        <v>0.12125745660629275</v>
      </c>
      <c r="BD8" s="138" t="e">
        <f>IF(IF('Management and Hedging'!$J$10="no",BL8,BO8)=0,NA(),IF('Management and Hedging'!$J$10="no",BL8,BO8))</f>
        <v>#N/A</v>
      </c>
      <c r="BE8" s="138" t="e">
        <f>IF(IF('Management and Hedging'!$J$10="no",BM8,BP8)=0,NA(),IF('Management and Hedging'!$J$10="no",BM8,BP8))</f>
        <v>#N/A</v>
      </c>
      <c r="BF8" s="138" t="e">
        <f>IF(IF('Management and Hedging'!$J$10="no",BN8,BQ8)=0,NA(),IF('Management and Hedging'!$J$10="no",BN8,BQ8))</f>
        <v>#N/A</v>
      </c>
      <c r="BG8" s="92">
        <f>IF('Management and Hedging'!$G$13="yes",BH8+BI8,CQ8)</f>
        <v>0.12135745660629274</v>
      </c>
      <c r="BH8" s="92">
        <f>HLOOKUP(BH$1,'Asset Returns'!$F$1:$ZY$109,ROW(),0)*'Management and Hedging'!$G$10</f>
        <v>-4.7991000000000006E-3</v>
      </c>
      <c r="BI8" s="92">
        <f>HLOOKUP(BI$1,'Asset Returns'!$F$1:$ZY$109,ROW(),0)*'Management and Hedging'!$G$11</f>
        <v>0.12615655660629274</v>
      </c>
      <c r="BJ8" s="92">
        <f>HLOOKUP(BJ$1,'AC4'!$F$1:$AC$109,ROW(),0)</f>
        <v>-2.4095499999999999E-2</v>
      </c>
      <c r="BK8" s="92">
        <f>HLOOKUP(BK$1,'AC4'!$F$1:$AC$109,ROW(),0)</f>
        <v>0.15759569575786592</v>
      </c>
      <c r="BL8" s="138">
        <f ca="1">'Management and Hedging'!$R$34</f>
        <v>2.5919346055080732</v>
      </c>
      <c r="BM8" s="138">
        <f ca="1">'Management and Hedging'!$R$36</f>
        <v>-2.1312105104673718</v>
      </c>
      <c r="BN8" s="138">
        <f>'Management and Hedging'!$R$38</f>
        <v>-1.1865814872722835</v>
      </c>
      <c r="BR8" s="208"/>
      <c r="BS8" s="208"/>
      <c r="BT8" s="208"/>
      <c r="BU8" s="208"/>
      <c r="BV8" s="208"/>
      <c r="BW8" s="208"/>
      <c r="BX8" s="208"/>
      <c r="BY8" s="208"/>
      <c r="BZ8" s="208"/>
      <c r="CA8" s="208"/>
      <c r="CB8" s="208"/>
      <c r="CC8" s="208"/>
      <c r="CD8" s="208"/>
      <c r="CE8" s="208"/>
      <c r="CF8" s="208"/>
      <c r="CG8" s="208"/>
      <c r="CH8" s="208"/>
      <c r="CI8" s="208"/>
      <c r="CJ8" s="208"/>
      <c r="CK8" s="343">
        <f>CK7*(1+BA8+'Risk Factors'!$J8)</f>
        <v>0.20077328312436288</v>
      </c>
      <c r="CL8" s="343">
        <f>CL7*(1+BB8+'Risk Factors'!$J8)</f>
        <v>0.67203600978430478</v>
      </c>
      <c r="CN8" s="343">
        <f t="shared" si="9"/>
        <v>0.23003110158838805</v>
      </c>
      <c r="CO8" s="343">
        <f>CL8/SUM($CK8:$CL8)</f>
        <v>0.76996889841161187</v>
      </c>
      <c r="CP8" s="418">
        <f t="shared" si="10"/>
        <v>0.87280929290866771</v>
      </c>
      <c r="CQ8" s="343">
        <f t="shared" si="13"/>
        <v>9.3106968302886672E-2</v>
      </c>
      <c r="CS8" s="332">
        <f>CS7/100</f>
        <v>0.5</v>
      </c>
      <c r="CT8" s="260"/>
      <c r="CU8" s="260"/>
      <c r="CV8" s="260"/>
      <c r="CW8" s="260"/>
      <c r="CX8" s="260"/>
      <c r="CY8" s="260"/>
      <c r="CZ8" s="260"/>
      <c r="DB8" s="332">
        <v>0.1</v>
      </c>
      <c r="DC8" s="183">
        <v>-1.1418771440882545</v>
      </c>
      <c r="DD8" s="183">
        <v>0.42402368617680786</v>
      </c>
      <c r="DE8" s="183">
        <v>0.20335527881297838</v>
      </c>
      <c r="DF8" s="183">
        <v>0.47595233552874738</v>
      </c>
      <c r="DG8" s="183"/>
      <c r="DH8" s="260"/>
      <c r="DI8" s="260"/>
    </row>
    <row r="9" spans="5:114">
      <c r="F9" s="421">
        <v>40421</v>
      </c>
      <c r="G9" s="92">
        <f>IF(Portfolios!$G$16="yes",SUM(T9:X9),AX9)</f>
        <v>-7.4417324736714363E-2</v>
      </c>
      <c r="H9" s="138" t="e">
        <f>IF(IF(Portfolios!$J$10="no",'AC3'!Y9,'AC3'!AE9)=0,NA(),IF(Portfolios!$J$10="no",Y9,AE9))</f>
        <v>#N/A</v>
      </c>
      <c r="I9" s="138" t="e">
        <f>IF(Portfolios!$J$11="no",NA(),IF(IF(Portfolios!$J$10="no",'AC3'!Z9,'AC3'!AF9)=0,NA(),IF(Portfolios!$J$10="no",Z9,AF9)))</f>
        <v>#N/A</v>
      </c>
      <c r="J9" s="138" t="e">
        <f>IF(Portfolios!$J$11="no",NA(),IF(IF(Portfolios!$J$10="no",'AC3'!AA9,'AC3'!AG9)=0,NA(),IF(Portfolios!$J$10="no",AA9,AG9)))</f>
        <v>#N/A</v>
      </c>
      <c r="K9" s="138" t="e">
        <f>IF(Portfolios!$J$11="no",NA(),IF(IF(Portfolios!$J$10="no",'AC3'!AB9,'AC3'!AH9)=0,NA(),IF(Portfolios!$J$10="no",AB9,AH9)))</f>
        <v>#N/A</v>
      </c>
      <c r="L9" s="138" t="e">
        <f>IF(Portfolios!$J$11="no",NA(),IF(IF(Portfolios!$J$10="no",'AC3'!AC9,'AC3'!AI9)=0,NA(),IF(Portfolios!$J$10="no",AC9,AI9)))</f>
        <v>#N/A</v>
      </c>
      <c r="M9" s="138" t="e">
        <f>IF(Portfolios!$J$11="no",NA(),IF(IF(Portfolios!$J$10="no",'AC3'!AD9,'AC3'!AJ9)=0,NA(),IF(Portfolios!$J$10="no",AD9,AJ9)))</f>
        <v>#N/A</v>
      </c>
      <c r="N9" s="92">
        <f>G9-'Risk Factors'!J9</f>
        <v>-7.4517324736714366E-2</v>
      </c>
      <c r="O9" s="260">
        <f>HLOOKUP(O$1,'Asset Returns'!$F$1:$N$109,ROW(),0)-'Risk Factors'!$J9</f>
        <v>-8.0124555325508121E-2</v>
      </c>
      <c r="P9" s="260">
        <f>HLOOKUP(P$1,'Asset Returns'!$F$1:$N$109,ROW(),0)-'Risk Factors'!$J9</f>
        <v>0.19590969552993776</v>
      </c>
      <c r="Q9" s="260">
        <f>HLOOKUP(Q$1,'Asset Returns'!$F$1:$N$109,ROW(),0)-'Risk Factors'!$J9</f>
        <v>-0.23022767732143401</v>
      </c>
      <c r="R9" s="260">
        <f>HLOOKUP(R$1,'Asset Returns'!$F$1:$N$109,ROW(),0)-'Risk Factors'!$J9</f>
        <v>-3.2455796545743945E-2</v>
      </c>
      <c r="S9" s="260">
        <f>HLOOKUP(S$1,'Asset Returns'!$F$1:$N$109,ROW(),0)-'Risk Factors'!$J9</f>
        <v>-3.6453982985019687E-2</v>
      </c>
      <c r="T9" s="260">
        <f>HLOOKUP(T$1,'Asset Returns'!$F$1:$N$109,ROW(),0)*Portfolios!$G$10</f>
        <v>-8.0024555325508128E-3</v>
      </c>
      <c r="U9" s="260">
        <f>HLOOKUP(U$1,'Asset Returns'!$F$1:$N$109,ROW(),0)*Portfolios!$G$11</f>
        <v>1.9600969552993775E-2</v>
      </c>
      <c r="V9" s="260">
        <f>HLOOKUP(V$1,'Asset Returns'!$F$1:$N$109,ROW(),0)*Portfolios!$G$12</f>
        <v>-6.9038303196430201E-2</v>
      </c>
      <c r="W9" s="260">
        <f>HLOOKUP(W$1,'Asset Returns'!$F$1:$N$109,ROW(),0)*Portfolios!$G$13</f>
        <v>-9.7067389637231823E-3</v>
      </c>
      <c r="X9" s="260">
        <f>HLOOKUP(X$1,'Asset Returns'!$F$1:$N$109,ROW(),0)*Portfolios!$G$14</f>
        <v>-7.2707965970039354E-3</v>
      </c>
      <c r="Y9" s="138">
        <f>Portfolios!$R$34</f>
        <v>-0.68211369708646341</v>
      </c>
      <c r="Z9" s="138">
        <f>Portfolios!$P$11</f>
        <v>0.9378377404978776</v>
      </c>
      <c r="AA9" s="138">
        <f>Portfolios!$P$12</f>
        <v>0.64097224418739052</v>
      </c>
      <c r="AB9" s="138">
        <f>Portfolios!$P$13</f>
        <v>-2.1312105104673718</v>
      </c>
      <c r="AC9" s="138">
        <f>Portfolios!$P$14</f>
        <v>-0.78557102570241866</v>
      </c>
      <c r="AD9" s="138">
        <f>Portfolios!$P$15</f>
        <v>0.17519882647973573</v>
      </c>
      <c r="AL9" s="343">
        <f>AL8*(1+O9+'Risk Factors'!$J9)</f>
        <v>6.1246028796049776E-2</v>
      </c>
      <c r="AM9" s="343">
        <f>AM8*(1+P9+'Risk Factors'!$J9)</f>
        <v>0.12817702406918038</v>
      </c>
      <c r="AN9" s="343">
        <f>AN8*(1+Q9+'Risk Factors'!$J9)</f>
        <v>0.18299042896081114</v>
      </c>
      <c r="AO9" s="343">
        <f>AO8*(1+R9+'Risk Factors'!$J9)</f>
        <v>0.24665127762950492</v>
      </c>
      <c r="AP9" s="343">
        <f>AP8*(1+S9+'Risk Factors'!$J9)</f>
        <v>0.19080238568951172</v>
      </c>
      <c r="AR9" s="343">
        <f t="shared" si="3"/>
        <v>7.5624785081360238E-2</v>
      </c>
      <c r="AS9" s="343">
        <f t="shared" si="4"/>
        <v>0.15826919864272576</v>
      </c>
      <c r="AT9" s="343">
        <f t="shared" si="5"/>
        <v>0.2259511699638527</v>
      </c>
      <c r="AU9" s="343">
        <f t="shared" si="6"/>
        <v>0.30455770320862496</v>
      </c>
      <c r="AV9" s="343">
        <f t="shared" si="7"/>
        <v>0.23559714310343643</v>
      </c>
      <c r="AW9" s="418">
        <f t="shared" si="8"/>
        <v>0.80986714514505787</v>
      </c>
      <c r="AX9" s="343">
        <f t="shared" si="11"/>
        <v>-6.3014511722308764E-2</v>
      </c>
      <c r="AZ9" s="421">
        <v>40421</v>
      </c>
      <c r="BA9" s="92">
        <f>HLOOKUP(BA$1,'AC4'!$F$1:$AC$109,ROW(),0)*'Management and Hedging'!$G$10</f>
        <v>1.7132660000000001E-2</v>
      </c>
      <c r="BB9" s="92">
        <f>HLOOKUP(BB$1,'AC4'!$F$1:$AC$109,ROW(),0)*'Management and Hedging'!$G$11</f>
        <v>-0.18418214185714721</v>
      </c>
      <c r="BC9" s="92">
        <f>IF('Management and Hedging'!$G$13="yes",BA9+BB9,CQ9)</f>
        <v>-0.16704948185714721</v>
      </c>
      <c r="BD9" s="138" t="e">
        <f>IF(IF('Management and Hedging'!$J$10="no",BL9,BO9)=0,NA(),IF('Management and Hedging'!$J$10="no",BL9,BO9))</f>
        <v>#N/A</v>
      </c>
      <c r="BE9" s="138" t="e">
        <f>IF(IF('Management and Hedging'!$J$10="no",BM9,BP9)=0,NA(),IF('Management and Hedging'!$J$10="no",BM9,BP9))</f>
        <v>#N/A</v>
      </c>
      <c r="BF9" s="138" t="e">
        <f>IF(IF('Management and Hedging'!$J$10="no",BN9,BQ9)=0,NA(),IF('Management and Hedging'!$J$10="no",BN9,BQ9))</f>
        <v>#N/A</v>
      </c>
      <c r="BG9" s="92">
        <f>IF('Management and Hedging'!$G$13="yes",BH9+BI9,CQ9)</f>
        <v>-0.16694948185714725</v>
      </c>
      <c r="BH9" s="92">
        <f>HLOOKUP(BH$1,'Asset Returns'!$F$1:$ZY$109,ROW(),0)*'Management and Hedging'!$G$10</f>
        <v>1.715266E-2</v>
      </c>
      <c r="BI9" s="92">
        <f>HLOOKUP(BI$1,'Asset Returns'!$F$1:$ZY$109,ROW(),0)*'Management and Hedging'!$G$11</f>
        <v>-0.18410214185714724</v>
      </c>
      <c r="BJ9" s="92">
        <f>HLOOKUP(BJ$1,'AC4'!$F$1:$AC$109,ROW(),0)</f>
        <v>8.5663299999999998E-2</v>
      </c>
      <c r="BK9" s="92">
        <f>HLOOKUP(BK$1,'AC4'!$F$1:$AC$109,ROW(),0)</f>
        <v>-0.23022767732143401</v>
      </c>
      <c r="BL9" s="138">
        <f ca="1">'Management and Hedging'!$R$34</f>
        <v>2.5919346055080732</v>
      </c>
      <c r="BM9" s="138">
        <f ca="1">'Management and Hedging'!$R$36</f>
        <v>-2.1312105104673718</v>
      </c>
      <c r="BN9" s="138">
        <f>'Management and Hedging'!$R$38</f>
        <v>-1.1865814872722835</v>
      </c>
      <c r="BR9" s="208"/>
      <c r="BS9" s="208"/>
      <c r="BT9" s="208"/>
      <c r="BU9" s="208"/>
      <c r="BV9" s="208"/>
      <c r="BW9" s="208"/>
      <c r="BX9" s="208"/>
      <c r="BY9" s="208"/>
      <c r="BZ9" s="208"/>
      <c r="CA9" s="208"/>
      <c r="CB9" s="208"/>
      <c r="CC9" s="208"/>
      <c r="CD9" s="208"/>
      <c r="CE9" s="208"/>
      <c r="CF9" s="208"/>
      <c r="CG9" s="208"/>
      <c r="CH9" s="208"/>
      <c r="CI9" s="208"/>
      <c r="CJ9" s="208"/>
      <c r="CK9" s="343">
        <f>CK8*(1+BA9+'Risk Factors'!$J9)</f>
        <v>0.20423314084952873</v>
      </c>
      <c r="CL9" s="343">
        <f>CL8*(1+BB9+'Risk Factors'!$J9)</f>
        <v>0.54832618169807923</v>
      </c>
      <c r="CN9" s="343">
        <f t="shared" si="9"/>
        <v>0.27138477290819646</v>
      </c>
      <c r="CO9" s="343">
        <f t="shared" si="12"/>
        <v>0.7286152270918036</v>
      </c>
      <c r="CP9" s="418">
        <f t="shared" si="10"/>
        <v>0.75255932254760793</v>
      </c>
      <c r="CQ9" s="343">
        <f t="shared" si="13"/>
        <v>-0.13777347621989966</v>
      </c>
      <c r="CS9" s="331">
        <f>1-CS8</f>
        <v>0.5</v>
      </c>
      <c r="CT9" s="260"/>
      <c r="CU9" s="260"/>
      <c r="CV9" s="260"/>
      <c r="CW9" s="260"/>
      <c r="CX9" s="260"/>
      <c r="CY9" s="260"/>
      <c r="CZ9" s="260"/>
      <c r="DB9" s="332">
        <v>0.2</v>
      </c>
      <c r="DC9" s="183">
        <v>-0.89419217132901785</v>
      </c>
      <c r="DD9" s="183">
        <v>0.42715642321833264</v>
      </c>
      <c r="DE9" s="183">
        <v>0.18424846074058687</v>
      </c>
      <c r="DF9" s="183">
        <v>0.43022245869813119</v>
      </c>
      <c r="DG9" s="183"/>
      <c r="DH9" s="260"/>
      <c r="DI9" s="260"/>
    </row>
    <row r="10" spans="5:114">
      <c r="F10" s="421">
        <v>40451</v>
      </c>
      <c r="G10" s="92">
        <f>IF(Portfolios!$G$16="yes",SUM(T10:X10),AX10)</f>
        <v>6.7469230853021145E-2</v>
      </c>
      <c r="H10" s="138" t="e">
        <f>IF(IF(Portfolios!$J$10="no",'AC3'!Y10,'AC3'!AE10)=0,NA(),IF(Portfolios!$J$10="no",Y10,AE10))</f>
        <v>#N/A</v>
      </c>
      <c r="I10" s="138" t="e">
        <f>IF(Portfolios!$J$11="no",NA(),IF(IF(Portfolios!$J$10="no",'AC3'!Z10,'AC3'!AF10)=0,NA(),IF(Portfolios!$J$10="no",Z10,AF10)))</f>
        <v>#N/A</v>
      </c>
      <c r="J10" s="138" t="e">
        <f>IF(Portfolios!$J$11="no",NA(),IF(IF(Portfolios!$J$10="no",'AC3'!AA10,'AC3'!AG10)=0,NA(),IF(Portfolios!$J$10="no",AA10,AG10)))</f>
        <v>#N/A</v>
      </c>
      <c r="K10" s="138" t="e">
        <f>IF(Portfolios!$J$11="no",NA(),IF(IF(Portfolios!$J$10="no",'AC3'!AB10,'AC3'!AH10)=0,NA(),IF(Portfolios!$J$10="no",AB10,AH10)))</f>
        <v>#N/A</v>
      </c>
      <c r="L10" s="138" t="e">
        <f>IF(Portfolios!$J$11="no",NA(),IF(IF(Portfolios!$J$10="no",'AC3'!AC10,'AC3'!AI10)=0,NA(),IF(Portfolios!$J$10="no",AC10,AI10)))</f>
        <v>#N/A</v>
      </c>
      <c r="M10" s="138" t="e">
        <f>IF(Portfolios!$J$11="no",NA(),IF(IF(Portfolios!$J$10="no",'AC3'!AD10,'AC3'!AJ10)=0,NA(),IF(Portfolios!$J$10="no",AD10,AJ10)))</f>
        <v>#N/A</v>
      </c>
      <c r="N10" s="92">
        <f>G10-'Risk Factors'!J10</f>
        <v>6.7369230853021142E-2</v>
      </c>
      <c r="O10" s="260">
        <f>HLOOKUP(O$1,'Asset Returns'!$F$1:$N$109,ROW(),0)-'Risk Factors'!$J10</f>
        <v>0.15226045420169831</v>
      </c>
      <c r="P10" s="260">
        <f>HLOOKUP(P$1,'Asset Returns'!$F$1:$N$109,ROW(),0)-'Risk Factors'!$J10</f>
        <v>0.13756619563102723</v>
      </c>
      <c r="Q10" s="260">
        <f>HLOOKUP(Q$1,'Asset Returns'!$F$1:$N$109,ROW(),0)-'Risk Factors'!$J10</f>
        <v>8.1701724022626883E-3</v>
      </c>
      <c r="R10" s="260">
        <f>HLOOKUP(R$1,'Asset Returns'!$F$1:$N$109,ROW(),0)-'Risk Factors'!$J10</f>
        <v>6.0306599193811414E-2</v>
      </c>
      <c r="S10" s="260">
        <f>HLOOKUP(S$1,'Asset Returns'!$F$1:$N$109,ROW(),0)-'Risk Factors'!$J10</f>
        <v>8.9217671954631803E-2</v>
      </c>
      <c r="T10" s="260">
        <f>HLOOKUP(T$1,'Asset Returns'!$F$1:$N$109,ROW(),0)*Portfolios!$G$10</f>
        <v>1.5236045420169831E-2</v>
      </c>
      <c r="U10" s="260">
        <f>HLOOKUP(U$1,'Asset Returns'!$F$1:$N$109,ROW(),0)*Portfolios!$G$11</f>
        <v>1.3766619563102723E-2</v>
      </c>
      <c r="V10" s="260">
        <f>HLOOKUP(V$1,'Asset Returns'!$F$1:$N$109,ROW(),0)*Portfolios!$G$12</f>
        <v>2.4810517206788063E-3</v>
      </c>
      <c r="W10" s="260">
        <f>HLOOKUP(W$1,'Asset Returns'!$F$1:$N$109,ROW(),0)*Portfolios!$G$13</f>
        <v>1.8121979758143423E-2</v>
      </c>
      <c r="X10" s="260">
        <f>HLOOKUP(X$1,'Asset Returns'!$F$1:$N$109,ROW(),0)*Portfolios!$G$14</f>
        <v>1.7863534390926358E-2</v>
      </c>
      <c r="Y10" s="138">
        <f>Portfolios!$R$34</f>
        <v>-0.68211369708646341</v>
      </c>
      <c r="Z10" s="138">
        <f>Portfolios!$P$11</f>
        <v>0.9378377404978776</v>
      </c>
      <c r="AA10" s="138">
        <f>Portfolios!$P$12</f>
        <v>0.64097224418739052</v>
      </c>
      <c r="AB10" s="138">
        <f>Portfolios!$P$13</f>
        <v>-2.1312105104673718</v>
      </c>
      <c r="AC10" s="138">
        <f>Portfolios!$P$14</f>
        <v>-0.78557102570241866</v>
      </c>
      <c r="AD10" s="138">
        <f>Portfolios!$P$15</f>
        <v>0.17519882647973573</v>
      </c>
      <c r="AL10" s="343">
        <f>AL9*(1+O10+'Risk Factors'!$J10)</f>
        <v>7.0577501561466208E-2</v>
      </c>
      <c r="AM10" s="343">
        <f>AM9*(1+P10+'Risk Factors'!$J10)</f>
        <v>0.14582266734009106</v>
      </c>
      <c r="AN10" s="343">
        <f>AN9*(1+Q10+'Risk Factors'!$J10)</f>
        <v>0.18450379135628106</v>
      </c>
      <c r="AO10" s="343">
        <f>AO9*(1+R10+'Risk Factors'!$J10)</f>
        <v>0.26155064249791193</v>
      </c>
      <c r="AP10" s="343">
        <f>AP9*(1+S10+'Risk Factors'!$J10)</f>
        <v>0.20784441058268865</v>
      </c>
      <c r="AR10" s="343">
        <f t="shared" si="3"/>
        <v>8.1095692951245787E-2</v>
      </c>
      <c r="AS10" s="343">
        <f t="shared" si="4"/>
        <v>0.167554673859413</v>
      </c>
      <c r="AT10" s="343">
        <f t="shared" si="5"/>
        <v>0.21200046021944857</v>
      </c>
      <c r="AU10" s="343">
        <f t="shared" si="6"/>
        <v>0.30052963233246938</v>
      </c>
      <c r="AV10" s="343">
        <f t="shared" si="7"/>
        <v>0.23881954063742322</v>
      </c>
      <c r="AW10" s="418">
        <f t="shared" si="8"/>
        <v>0.87029901333843895</v>
      </c>
      <c r="AX10" s="343">
        <f t="shared" si="11"/>
        <v>7.4619483646983786E-2</v>
      </c>
      <c r="AZ10" s="421">
        <v>40451</v>
      </c>
      <c r="BA10" s="92">
        <f>HLOOKUP(BA$1,'AC4'!$F$1:$AC$109,ROW(),0)*'Management and Hedging'!$G$10</f>
        <v>2.7889420000000005E-2</v>
      </c>
      <c r="BB10" s="92">
        <f>HLOOKUP(BB$1,'AC4'!$F$1:$AC$109,ROW(),0)*'Management and Hedging'!$G$11</f>
        <v>6.5361379218101508E-3</v>
      </c>
      <c r="BC10" s="92">
        <f>IF('Management and Hedging'!$G$13="yes",BA10+BB10,CQ10)</f>
        <v>3.4425557921810158E-2</v>
      </c>
      <c r="BD10" s="138" t="e">
        <f>IF(IF('Management and Hedging'!$J$10="no",BL10,BO10)=0,NA(),IF('Management and Hedging'!$J$10="no",BL10,BO10))</f>
        <v>#N/A</v>
      </c>
      <c r="BE10" s="138" t="e">
        <f>IF(IF('Management and Hedging'!$J$10="no",BM10,BP10)=0,NA(),IF('Management and Hedging'!$J$10="no",BM10,BP10))</f>
        <v>#N/A</v>
      </c>
      <c r="BF10" s="138" t="e">
        <f>IF(IF('Management and Hedging'!$J$10="no",BN10,BQ10)=0,NA(),IF('Management and Hedging'!$J$10="no",BN10,BQ10))</f>
        <v>#N/A</v>
      </c>
      <c r="BG10" s="92">
        <f>IF('Management and Hedging'!$G$13="yes",BH10+BI10,CQ10)</f>
        <v>3.4525557921810154E-2</v>
      </c>
      <c r="BH10" s="92">
        <f>HLOOKUP(BH$1,'Asset Returns'!$F$1:$ZY$109,ROW(),0)*'Management and Hedging'!$G$10</f>
        <v>2.7909420000000004E-2</v>
      </c>
      <c r="BI10" s="92">
        <f>HLOOKUP(BI$1,'Asset Returns'!$F$1:$ZY$109,ROW(),0)*'Management and Hedging'!$G$11</f>
        <v>6.6161379218101501E-3</v>
      </c>
      <c r="BJ10" s="92">
        <f>HLOOKUP(BJ$1,'AC4'!$F$1:$AC$109,ROW(),0)</f>
        <v>0.13944710000000002</v>
      </c>
      <c r="BK10" s="92">
        <f>HLOOKUP(BK$1,'AC4'!$F$1:$AC$109,ROW(),0)</f>
        <v>8.1701724022626883E-3</v>
      </c>
      <c r="BL10" s="138">
        <f ca="1">'Management and Hedging'!$R$34</f>
        <v>2.5919346055080732</v>
      </c>
      <c r="BM10" s="138">
        <f ca="1">'Management and Hedging'!$R$36</f>
        <v>-2.1312105104673718</v>
      </c>
      <c r="BN10" s="138">
        <f>'Management and Hedging'!$R$38</f>
        <v>-1.1865814872722835</v>
      </c>
      <c r="BR10" s="208"/>
      <c r="BS10" s="208"/>
      <c r="BT10" s="208"/>
      <c r="BU10" s="208"/>
      <c r="BV10" s="208"/>
      <c r="BW10" s="208"/>
      <c r="BX10" s="208"/>
      <c r="BY10" s="208"/>
      <c r="BZ10" s="208"/>
      <c r="CA10" s="208"/>
      <c r="CB10" s="208"/>
      <c r="CC10" s="208"/>
      <c r="CD10" s="208"/>
      <c r="CE10" s="208"/>
      <c r="CF10" s="208"/>
      <c r="CG10" s="208"/>
      <c r="CH10" s="208"/>
      <c r="CI10" s="208"/>
      <c r="CJ10" s="208"/>
      <c r="CK10" s="343">
        <f>CK9*(1+BA10+'Risk Factors'!$J10)</f>
        <v>0.20994950800668533</v>
      </c>
      <c r="CL10" s="343">
        <f>CL9*(1+BB10+'Risk Factors'!$J10)</f>
        <v>0.55196494986596711</v>
      </c>
      <c r="CN10" s="343">
        <f t="shared" si="9"/>
        <v>0.27555522255462517</v>
      </c>
      <c r="CO10" s="343">
        <f t="shared" si="12"/>
        <v>0.72444477744537483</v>
      </c>
      <c r="CP10" s="418">
        <f t="shared" si="10"/>
        <v>0.76191445787265244</v>
      </c>
      <c r="CQ10" s="343">
        <f t="shared" si="13"/>
        <v>1.243109352944427E-2</v>
      </c>
      <c r="CS10" s="331"/>
      <c r="CT10" s="260"/>
      <c r="CU10" s="260"/>
      <c r="CV10" s="260"/>
      <c r="CW10" s="260"/>
      <c r="CX10" s="260"/>
      <c r="CY10" s="260"/>
      <c r="CZ10" s="260"/>
      <c r="DB10" s="331">
        <v>0.3</v>
      </c>
      <c r="DC10" s="183">
        <v>-0.73216194386838374</v>
      </c>
      <c r="DD10" s="183">
        <v>0.4362340080530282</v>
      </c>
      <c r="DE10" s="183">
        <v>0.17692438896954402</v>
      </c>
      <c r="DF10" s="183">
        <v>0.40830890671389403</v>
      </c>
      <c r="DG10" s="183"/>
      <c r="DH10" s="260"/>
      <c r="DI10" s="260"/>
    </row>
    <row r="11" spans="5:114">
      <c r="F11" s="421">
        <v>40482</v>
      </c>
      <c r="G11" s="92">
        <f>IF(Portfolios!$G$16="yes",SUM(T11:X11),AX11)</f>
        <v>-2.8151643089950083E-2</v>
      </c>
      <c r="H11" s="138" t="e">
        <f>IF(IF(Portfolios!$J$10="no",'AC3'!Y11,'AC3'!AE11)=0,NA(),IF(Portfolios!$J$10="no",Y11,AE11))</f>
        <v>#N/A</v>
      </c>
      <c r="I11" s="138" t="e">
        <f>IF(Portfolios!$J$11="no",NA(),IF(IF(Portfolios!$J$10="no",'AC3'!Z11,'AC3'!AF11)=0,NA(),IF(Portfolios!$J$10="no",Z11,AF11)))</f>
        <v>#N/A</v>
      </c>
      <c r="J11" s="138" t="e">
        <f>IF(Portfolios!$J$11="no",NA(),IF(IF(Portfolios!$J$10="no",'AC3'!AA11,'AC3'!AG11)=0,NA(),IF(Portfolios!$J$10="no",AA11,AG11)))</f>
        <v>#N/A</v>
      </c>
      <c r="K11" s="138" t="e">
        <f>IF(Portfolios!$J$11="no",NA(),IF(IF(Portfolios!$J$10="no",'AC3'!AB11,'AC3'!AH11)=0,NA(),IF(Portfolios!$J$10="no",AB11,AH11)))</f>
        <v>#N/A</v>
      </c>
      <c r="L11" s="138" t="e">
        <f>IF(Portfolios!$J$11="no",NA(),IF(IF(Portfolios!$J$10="no",'AC3'!AC11,'AC3'!AI11)=0,NA(),IF(Portfolios!$J$10="no",AC11,AI11)))</f>
        <v>#N/A</v>
      </c>
      <c r="M11" s="138" t="e">
        <f>IF(Portfolios!$J$11="no",NA(),IF(IF(Portfolios!$J$10="no",'AC3'!AD11,'AC3'!AJ11)=0,NA(),IF(Portfolios!$J$10="no",AD11,AJ11)))</f>
        <v>#N/A</v>
      </c>
      <c r="N11" s="92">
        <f>G11-'Risk Factors'!J11</f>
        <v>-2.8251643089950082E-2</v>
      </c>
      <c r="O11" s="260">
        <f>HLOOKUP(O$1,'Asset Returns'!$F$1:$N$109,ROW(),0)-'Risk Factors'!$J11</f>
        <v>9.6537012770771986E-3</v>
      </c>
      <c r="P11" s="260">
        <f>HLOOKUP(P$1,'Asset Returns'!$F$1:$N$109,ROW(),0)-'Risk Factors'!$J11</f>
        <v>6.7376235330104825E-2</v>
      </c>
      <c r="Q11" s="260">
        <f>HLOOKUP(Q$1,'Asset Returns'!$F$1:$N$109,ROW(),0)-'Risk Factors'!$J11</f>
        <v>-0.15556593070030211</v>
      </c>
      <c r="R11" s="260">
        <f>HLOOKUP(R$1,'Asset Returns'!$F$1:$N$109,ROW(),0)-'Risk Factors'!$J11</f>
        <v>-1.1165081693232059E-2</v>
      </c>
      <c r="S11" s="260">
        <f>HLOOKUP(S$1,'Asset Returns'!$F$1:$N$109,ROW(),0)-'Risk Factors'!$J11</f>
        <v>7.0323334836959836E-2</v>
      </c>
      <c r="T11" s="260">
        <f>HLOOKUP(T$1,'Asset Returns'!$F$1:$N$109,ROW(),0)*Portfolios!$G$10</f>
        <v>9.7537012770771987E-4</v>
      </c>
      <c r="U11" s="260">
        <f>HLOOKUP(U$1,'Asset Returns'!$F$1:$N$109,ROW(),0)*Portfolios!$G$11</f>
        <v>6.7476235330104833E-3</v>
      </c>
      <c r="V11" s="260">
        <f>HLOOKUP(V$1,'Asset Returns'!$F$1:$N$109,ROW(),0)*Portfolios!$G$12</f>
        <v>-4.6639779210090639E-2</v>
      </c>
      <c r="W11" s="260">
        <f>HLOOKUP(W$1,'Asset Returns'!$F$1:$N$109,ROW(),0)*Portfolios!$G$13</f>
        <v>-3.3195245079696177E-3</v>
      </c>
      <c r="X11" s="260">
        <f>HLOOKUP(X$1,'Asset Returns'!$F$1:$N$109,ROW(),0)*Portfolios!$G$14</f>
        <v>1.4084666967391964E-2</v>
      </c>
      <c r="Y11" s="138">
        <f>Portfolios!$R$34</f>
        <v>-0.68211369708646341</v>
      </c>
      <c r="Z11" s="138">
        <f>Portfolios!$P$11</f>
        <v>0.9378377404978776</v>
      </c>
      <c r="AA11" s="138">
        <f>Portfolios!$P$12</f>
        <v>0.64097224418739052</v>
      </c>
      <c r="AB11" s="138">
        <f>Portfolios!$P$13</f>
        <v>-2.1312105104673718</v>
      </c>
      <c r="AC11" s="138">
        <f>Portfolios!$P$14</f>
        <v>-0.78557102570241866</v>
      </c>
      <c r="AD11" s="138">
        <f>Portfolios!$P$15</f>
        <v>0.17519882647973573</v>
      </c>
      <c r="AL11" s="343">
        <f>AL10*(1+O11+'Risk Factors'!$J11)</f>
        <v>7.1265893428579197E-2</v>
      </c>
      <c r="AM11" s="343">
        <f>AM10*(1+P11+'Risk Factors'!$J11)</f>
        <v>0.15566223195799464</v>
      </c>
      <c r="AN11" s="343">
        <f>AN10*(1+Q11+'Risk Factors'!$J11)</f>
        <v>0.15581973771534247</v>
      </c>
      <c r="AO11" s="343">
        <f>AO10*(1+R11+'Risk Factors'!$J11)</f>
        <v>0.25865656327175518</v>
      </c>
      <c r="AP11" s="343">
        <f>AP10*(1+S11+'Risk Factors'!$J11)</f>
        <v>0.22248150710314391</v>
      </c>
      <c r="AR11" s="343">
        <f t="shared" si="3"/>
        <v>8.2494564000782866E-2</v>
      </c>
      <c r="AS11" s="343">
        <f t="shared" si="4"/>
        <v>0.18018840905478437</v>
      </c>
      <c r="AT11" s="343">
        <f t="shared" si="5"/>
        <v>0.18037073145551372</v>
      </c>
      <c r="AU11" s="343">
        <f t="shared" si="6"/>
        <v>0.29941055091701746</v>
      </c>
      <c r="AV11" s="343">
        <f t="shared" si="7"/>
        <v>0.25753574457190159</v>
      </c>
      <c r="AW11" s="418">
        <f t="shared" si="8"/>
        <v>0.86388593347681542</v>
      </c>
      <c r="AX11" s="343">
        <f t="shared" si="11"/>
        <v>-7.368823546085812E-3</v>
      </c>
      <c r="AZ11" s="421">
        <v>40482</v>
      </c>
      <c r="BA11" s="92">
        <f>HLOOKUP(BA$1,'AC4'!$F$1:$AC$109,ROW(),0)*'Management and Hedging'!$G$10</f>
        <v>9.5918200000000009E-3</v>
      </c>
      <c r="BB11" s="92">
        <f>HLOOKUP(BB$1,'AC4'!$F$1:$AC$109,ROW(),0)*'Management and Hedging'!$G$11</f>
        <v>-0.12445274456024169</v>
      </c>
      <c r="BC11" s="92">
        <f>IF('Management and Hedging'!$G$13="yes",BA11+BB11,CQ11)</f>
        <v>-0.11486092456024169</v>
      </c>
      <c r="BD11" s="138" t="e">
        <f>IF(IF('Management and Hedging'!$J$10="no",BL11,BO11)=0,NA(),IF('Management and Hedging'!$J$10="no",BL11,BO11))</f>
        <v>#N/A</v>
      </c>
      <c r="BE11" s="138" t="e">
        <f>IF(IF('Management and Hedging'!$J$10="no",BM11,BP11)=0,NA(),IF('Management and Hedging'!$J$10="no",BM11,BP11))</f>
        <v>#N/A</v>
      </c>
      <c r="BF11" s="138" t="e">
        <f>IF(IF('Management and Hedging'!$J$10="no",BN11,BQ11)=0,NA(),IF('Management and Hedging'!$J$10="no",BN11,BQ11))</f>
        <v>#N/A</v>
      </c>
      <c r="BG11" s="92">
        <f>IF('Management and Hedging'!$G$13="yes",BH11+BI11,CQ11)</f>
        <v>-0.1147609245602417</v>
      </c>
      <c r="BH11" s="92">
        <f>HLOOKUP(BH$1,'Asset Returns'!$F$1:$ZY$109,ROW(),0)*'Management and Hedging'!$G$10</f>
        <v>9.6118200000000001E-3</v>
      </c>
      <c r="BI11" s="92">
        <f>HLOOKUP(BI$1,'Asset Returns'!$F$1:$ZY$109,ROW(),0)*'Management and Hedging'!$G$11</f>
        <v>-0.12437274456024171</v>
      </c>
      <c r="BJ11" s="92">
        <f>HLOOKUP(BJ$1,'AC4'!$F$1:$AC$109,ROW(),0)</f>
        <v>4.7959099999999998E-2</v>
      </c>
      <c r="BK11" s="92">
        <f>HLOOKUP(BK$1,'AC4'!$F$1:$AC$109,ROW(),0)</f>
        <v>-0.15556593070030211</v>
      </c>
      <c r="BL11" s="138">
        <f ca="1">'Management and Hedging'!$R$34</f>
        <v>2.5919346055080732</v>
      </c>
      <c r="BM11" s="138">
        <f ca="1">'Management and Hedging'!$R$36</f>
        <v>-2.1312105104673718</v>
      </c>
      <c r="BN11" s="138">
        <f>'Management and Hedging'!$R$38</f>
        <v>-1.1865814872722835</v>
      </c>
      <c r="BR11" s="208"/>
      <c r="BS11" s="208"/>
      <c r="BT11" s="208"/>
      <c r="BU11" s="208"/>
      <c r="BV11" s="208"/>
      <c r="BW11" s="208"/>
      <c r="BX11" s="208"/>
      <c r="BY11" s="208"/>
      <c r="BZ11" s="208"/>
      <c r="CA11" s="208"/>
      <c r="CB11" s="208"/>
      <c r="CC11" s="208"/>
      <c r="CD11" s="208"/>
      <c r="CE11" s="208"/>
      <c r="CF11" s="208"/>
      <c r="CG11" s="208"/>
      <c r="CH11" s="208"/>
      <c r="CI11" s="208"/>
      <c r="CJ11" s="208"/>
      <c r="CK11" s="343">
        <f>CK10*(1+BA11+'Risk Factors'!$J11)</f>
        <v>0.21198430084737468</v>
      </c>
      <c r="CL11" s="343">
        <f>CL10*(1+BB11+'Risk Factors'!$J11)</f>
        <v>0.48332659344907791</v>
      </c>
      <c r="CN11" s="343">
        <f t="shared" si="9"/>
        <v>0.30487700190843425</v>
      </c>
      <c r="CO11" s="343">
        <f t="shared" si="12"/>
        <v>0.69512299809156586</v>
      </c>
      <c r="CP11" s="418">
        <f t="shared" si="10"/>
        <v>0.69531089429645254</v>
      </c>
      <c r="CQ11" s="343">
        <f t="shared" si="13"/>
        <v>-8.7416064740606481E-2</v>
      </c>
      <c r="CS11" s="331"/>
      <c r="CT11" s="260"/>
      <c r="CU11" s="260"/>
      <c r="CV11" s="260"/>
      <c r="CW11" s="260"/>
      <c r="CX11" s="260"/>
      <c r="CY11" s="260"/>
      <c r="CZ11" s="260"/>
      <c r="DB11" s="331">
        <v>0.4</v>
      </c>
      <c r="DC11" s="183">
        <v>-0.60654818889095441</v>
      </c>
      <c r="DD11" s="183">
        <v>0.4382312492139151</v>
      </c>
      <c r="DE11" s="183">
        <v>0.17205960163744616</v>
      </c>
      <c r="DF11" s="183">
        <v>0.39565645254674736</v>
      </c>
      <c r="DG11" s="183"/>
      <c r="DH11" s="260"/>
      <c r="DI11" s="260"/>
    </row>
    <row r="12" spans="5:114">
      <c r="F12" s="421">
        <v>40512</v>
      </c>
      <c r="G12" s="92">
        <f>IF(Portfolios!$G$16="yes",SUM(T12:X12),AX12)</f>
        <v>-8.1037240102887105E-3</v>
      </c>
      <c r="H12" s="138" t="e">
        <f>IF(IF(Portfolios!$J$10="no",'AC3'!Y12,'AC3'!AE12)=0,NA(),IF(Portfolios!$J$10="no",Y12,AE12))</f>
        <v>#N/A</v>
      </c>
      <c r="I12" s="138" t="e">
        <f>IF(Portfolios!$J$11="no",NA(),IF(IF(Portfolios!$J$10="no",'AC3'!Z12,'AC3'!AF12)=0,NA(),IF(Portfolios!$J$10="no",Z12,AF12)))</f>
        <v>#N/A</v>
      </c>
      <c r="J12" s="138" t="e">
        <f>IF(Portfolios!$J$11="no",NA(),IF(IF(Portfolios!$J$10="no",'AC3'!AA12,'AC3'!AG12)=0,NA(),IF(Portfolios!$J$10="no",AA12,AG12)))</f>
        <v>#N/A</v>
      </c>
      <c r="K12" s="138" t="e">
        <f>IF(Portfolios!$J$11="no",NA(),IF(IF(Portfolios!$J$10="no",'AC3'!AB12,'AC3'!AH12)=0,NA(),IF(Portfolios!$J$10="no",AB12,AH12)))</f>
        <v>#N/A</v>
      </c>
      <c r="L12" s="138" t="e">
        <f>IF(Portfolios!$J$11="no",NA(),IF(IF(Portfolios!$J$10="no",'AC3'!AC12,'AC3'!AI12)=0,NA(),IF(Portfolios!$J$10="no",AC12,AI12)))</f>
        <v>#N/A</v>
      </c>
      <c r="M12" s="138" t="e">
        <f>IF(Portfolios!$J$11="no",NA(),IF(IF(Portfolios!$J$10="no",'AC3'!AD12,'AC3'!AJ12)=0,NA(),IF(Portfolios!$J$10="no",AD12,AJ12)))</f>
        <v>#N/A</v>
      </c>
      <c r="N12" s="92">
        <f>G12-'Risk Factors'!J12</f>
        <v>-8.2037240102887099E-3</v>
      </c>
      <c r="O12" s="260">
        <f>HLOOKUP(O$1,'Asset Returns'!$F$1:$N$109,ROW(),0)-'Risk Factors'!$J12</f>
        <v>-2.5786582550406455E-2</v>
      </c>
      <c r="P12" s="260">
        <f>HLOOKUP(P$1,'Asset Returns'!$F$1:$N$109,ROW(),0)-'Risk Factors'!$J12</f>
        <v>3.1426386737823483E-2</v>
      </c>
      <c r="Q12" s="260">
        <f>HLOOKUP(Q$1,'Asset Returns'!$F$1:$N$109,ROW(),0)-'Risk Factors'!$J12</f>
        <v>-0.10484412143230439</v>
      </c>
      <c r="R12" s="260">
        <f>HLOOKUP(R$1,'Asset Returns'!$F$1:$N$109,ROW(),0)-'Risk Factors'!$J12</f>
        <v>8.2772152328491208E-2</v>
      </c>
      <c r="S12" s="260">
        <f>HLOOKUP(S$1,'Asset Returns'!$F$1:$N$109,ROW(),0)-'Risk Factors'!$J12</f>
        <v>-1.0730568489432334E-2</v>
      </c>
      <c r="T12" s="260">
        <f>HLOOKUP(T$1,'Asset Returns'!$F$1:$N$109,ROW(),0)*Portfolios!$G$10</f>
        <v>-2.5686582550406459E-3</v>
      </c>
      <c r="U12" s="260">
        <f>HLOOKUP(U$1,'Asset Returns'!$F$1:$N$109,ROW(),0)*Portfolios!$G$11</f>
        <v>3.1526386737823486E-3</v>
      </c>
      <c r="V12" s="260">
        <f>HLOOKUP(V$1,'Asset Returns'!$F$1:$N$109,ROW(),0)*Portfolios!$G$12</f>
        <v>-3.1423236429691311E-2</v>
      </c>
      <c r="W12" s="260">
        <f>HLOOKUP(W$1,'Asset Returns'!$F$1:$N$109,ROW(),0)*Portfolios!$G$13</f>
        <v>2.4861645698547364E-2</v>
      </c>
      <c r="X12" s="260">
        <f>HLOOKUP(X$1,'Asset Returns'!$F$1:$N$109,ROW(),0)*Portfolios!$G$14</f>
        <v>-2.1261136978864667E-3</v>
      </c>
      <c r="Y12" s="138">
        <f>Portfolios!$R$34</f>
        <v>-0.68211369708646341</v>
      </c>
      <c r="Z12" s="138">
        <f>Portfolios!$P$11</f>
        <v>0.9378377404978776</v>
      </c>
      <c r="AA12" s="138">
        <f>Portfolios!$P$12</f>
        <v>0.64097224418739052</v>
      </c>
      <c r="AB12" s="138">
        <f>Portfolios!$P$13</f>
        <v>-2.1312105104673718</v>
      </c>
      <c r="AC12" s="138">
        <f>Portfolios!$P$14</f>
        <v>-0.78557102570241866</v>
      </c>
      <c r="AD12" s="138">
        <f>Portfolios!$P$15</f>
        <v>0.17519882647973573</v>
      </c>
      <c r="AL12" s="343">
        <f>AL11*(1+O12+'Risk Factors'!$J12)</f>
        <v>6.9435316173997522E-2</v>
      </c>
      <c r="AM12" s="343">
        <f>AM11*(1+P12+'Risk Factors'!$J12)</f>
        <v>0.16056969968317517</v>
      </c>
      <c r="AN12" s="343">
        <f>AN11*(1+Q12+'Risk Factors'!$J12)</f>
        <v>0.13949853618653682</v>
      </c>
      <c r="AO12" s="343">
        <f>AO11*(1+R12+'Risk Factors'!$J12)</f>
        <v>0.28009198938397611</v>
      </c>
      <c r="AP12" s="343">
        <f>AP11*(1+S12+'Risk Factors'!$J12)</f>
        <v>0.2201164022042518</v>
      </c>
      <c r="AR12" s="343">
        <f t="shared" si="3"/>
        <v>7.9837142265787461E-2</v>
      </c>
      <c r="AS12" s="343">
        <f t="shared" si="4"/>
        <v>0.18462400207203356</v>
      </c>
      <c r="AT12" s="343">
        <f t="shared" si="5"/>
        <v>0.16039625212456857</v>
      </c>
      <c r="AU12" s="343">
        <f t="shared" si="6"/>
        <v>0.32205144638385141</v>
      </c>
      <c r="AV12" s="343">
        <f t="shared" si="7"/>
        <v>0.25309115715375891</v>
      </c>
      <c r="AW12" s="418">
        <f t="shared" si="8"/>
        <v>0.86971194363193749</v>
      </c>
      <c r="AX12" s="343">
        <f t="shared" si="11"/>
        <v>6.7439576561625358E-3</v>
      </c>
      <c r="AZ12" s="421">
        <v>40512</v>
      </c>
      <c r="BA12" s="92">
        <f>HLOOKUP(BA$1,'AC4'!$F$1:$AC$109,ROW(),0)*'Management and Hedging'!$G$10</f>
        <v>1.4530260000000001E-2</v>
      </c>
      <c r="BB12" s="92">
        <f>HLOOKUP(BB$1,'AC4'!$F$1:$AC$109,ROW(),0)*'Management and Hedging'!$G$11</f>
        <v>-8.3875297145843519E-2</v>
      </c>
      <c r="BC12" s="92">
        <f>IF('Management and Hedging'!$G$13="yes",BA12+BB12,CQ12)</f>
        <v>-6.9345037145843516E-2</v>
      </c>
      <c r="BD12" s="138" t="e">
        <f>IF(IF('Management and Hedging'!$J$10="no",BL12,BO12)=0,NA(),IF('Management and Hedging'!$J$10="no",BL12,BO12))</f>
        <v>#N/A</v>
      </c>
      <c r="BE12" s="138" t="e">
        <f>IF(IF('Management and Hedging'!$J$10="no",BM12,BP12)=0,NA(),IF('Management and Hedging'!$J$10="no",BM12,BP12))</f>
        <v>#N/A</v>
      </c>
      <c r="BF12" s="138" t="e">
        <f>IF(IF('Management and Hedging'!$J$10="no",BN12,BQ12)=0,NA(),IF('Management and Hedging'!$J$10="no",BN12,BQ12))</f>
        <v>#N/A</v>
      </c>
      <c r="BG12" s="92">
        <f>IF('Management and Hedging'!$G$13="yes",BH12+BI12,CQ12)</f>
        <v>-6.9245037145843513E-2</v>
      </c>
      <c r="BH12" s="92">
        <f>HLOOKUP(BH$1,'Asset Returns'!$F$1:$ZY$109,ROW(),0)*'Management and Hedging'!$G$10</f>
        <v>1.4550260000000002E-2</v>
      </c>
      <c r="BI12" s="92">
        <f>HLOOKUP(BI$1,'Asset Returns'!$F$1:$ZY$109,ROW(),0)*'Management and Hedging'!$G$11</f>
        <v>-8.3795297145843509E-2</v>
      </c>
      <c r="BJ12" s="92">
        <f>HLOOKUP(BJ$1,'AC4'!$F$1:$AC$109,ROW(),0)</f>
        <v>7.2651300000000002E-2</v>
      </c>
      <c r="BK12" s="92">
        <f>HLOOKUP(BK$1,'AC4'!$F$1:$AC$109,ROW(),0)</f>
        <v>-0.10484412143230439</v>
      </c>
      <c r="BL12" s="138">
        <f ca="1">'Management and Hedging'!$R$34</f>
        <v>2.5919346055080732</v>
      </c>
      <c r="BM12" s="138">
        <f ca="1">'Management and Hedging'!$R$36</f>
        <v>-2.1312105104673718</v>
      </c>
      <c r="BN12" s="138">
        <f>'Management and Hedging'!$R$38</f>
        <v>-1.1865814872722835</v>
      </c>
      <c r="BR12" s="208"/>
      <c r="BS12" s="208"/>
      <c r="BT12" s="208"/>
      <c r="BU12" s="208"/>
      <c r="BV12" s="208"/>
      <c r="BW12" s="208"/>
      <c r="BX12" s="208"/>
      <c r="BY12" s="208"/>
      <c r="BZ12" s="208"/>
      <c r="CA12" s="208"/>
      <c r="CB12" s="208"/>
      <c r="CC12" s="208"/>
      <c r="CD12" s="208"/>
      <c r="CE12" s="208"/>
      <c r="CF12" s="208"/>
      <c r="CG12" s="208"/>
      <c r="CH12" s="208"/>
      <c r="CI12" s="208"/>
      <c r="CJ12" s="208"/>
      <c r="CK12" s="343">
        <f>CK11*(1+BA12+'Risk Factors'!$J12)</f>
        <v>0.21508568628468996</v>
      </c>
      <c r="CL12" s="343">
        <f>CL11*(1+BB12+'Risk Factors'!$J12)</f>
        <v>0.4428357644643931</v>
      </c>
      <c r="CN12" s="343">
        <f t="shared" si="9"/>
        <v>0.32691696864390424</v>
      </c>
      <c r="CO12" s="343">
        <f t="shared" si="12"/>
        <v>0.67308303135609582</v>
      </c>
      <c r="CP12" s="418">
        <f t="shared" si="10"/>
        <v>0.65792145074908304</v>
      </c>
      <c r="CQ12" s="343">
        <f t="shared" si="13"/>
        <v>-5.3773705912089631E-2</v>
      </c>
      <c r="CS12" s="331"/>
      <c r="CT12" s="260"/>
      <c r="CU12" s="260"/>
      <c r="CV12" s="260"/>
      <c r="CW12" s="260"/>
      <c r="CX12" s="260"/>
      <c r="CY12" s="260"/>
      <c r="CZ12" s="260"/>
      <c r="DB12" s="331">
        <v>0.5</v>
      </c>
      <c r="DC12" s="183">
        <v>-0.49957179764050846</v>
      </c>
      <c r="DD12" s="183">
        <v>0.4382279222766764</v>
      </c>
      <c r="DE12" s="183">
        <v>0.16881781716560107</v>
      </c>
      <c r="DF12" s="183">
        <v>0.38826621875942796</v>
      </c>
      <c r="DG12" s="183"/>
      <c r="DH12" s="331"/>
      <c r="DI12" s="331"/>
      <c r="DJ12" s="331"/>
    </row>
    <row r="13" spans="5:114">
      <c r="F13" s="421">
        <v>40543</v>
      </c>
      <c r="G13" s="92">
        <f>IF(Portfolios!$G$16="yes",SUM(T13:X13),AX13)</f>
        <v>6.9093057513236994E-2</v>
      </c>
      <c r="H13" s="138" t="e">
        <f>IF(IF(Portfolios!$J$10="no",'AC3'!Y13,'AC3'!AE13)=0,NA(),IF(Portfolios!$J$10="no",Y13,AE13))</f>
        <v>#N/A</v>
      </c>
      <c r="I13" s="138" t="e">
        <f>IF(Portfolios!$J$11="no",NA(),IF(IF(Portfolios!$J$10="no",'AC3'!Z13,'AC3'!AF13)=0,NA(),IF(Portfolios!$J$10="no",Z13,AF13)))</f>
        <v>#N/A</v>
      </c>
      <c r="J13" s="138" t="e">
        <f>IF(Portfolios!$J$11="no",NA(),IF(IF(Portfolios!$J$10="no",'AC3'!AA13,'AC3'!AG13)=0,NA(),IF(Portfolios!$J$10="no",AA13,AG13)))</f>
        <v>#N/A</v>
      </c>
      <c r="K13" s="138" t="e">
        <f>IF(Portfolios!$J$11="no",NA(),IF(IF(Portfolios!$J$10="no",'AC3'!AB13,'AC3'!AH13)=0,NA(),IF(Portfolios!$J$10="no",AB13,AH13)))</f>
        <v>#N/A</v>
      </c>
      <c r="L13" s="138" t="e">
        <f>IF(Portfolios!$J$11="no",NA(),IF(IF(Portfolios!$J$10="no",'AC3'!AC13,'AC3'!AI13)=0,NA(),IF(Portfolios!$J$10="no",AC13,AI13)))</f>
        <v>#N/A</v>
      </c>
      <c r="M13" s="138" t="e">
        <f>IF(Portfolios!$J$11="no",NA(),IF(IF(Portfolios!$J$10="no",'AC3'!AD13,'AC3'!AJ13)=0,NA(),IF(Portfolios!$J$10="no",AD13,AJ13)))</f>
        <v>#N/A</v>
      </c>
      <c r="N13" s="92">
        <f>G13-'Risk Factors'!J13</f>
        <v>6.8993057513236991E-2</v>
      </c>
      <c r="O13" s="260">
        <f>HLOOKUP(O$1,'Asset Returns'!$F$1:$N$109,ROW(),0)-'Risk Factors'!$J13</f>
        <v>9.860389103889465E-2</v>
      </c>
      <c r="P13" s="260">
        <f>HLOOKUP(P$1,'Asset Returns'!$F$1:$N$109,ROW(),0)-'Risk Factors'!$J13</f>
        <v>8.695610781908035E-2</v>
      </c>
      <c r="Q13" s="260">
        <f>HLOOKUP(Q$1,'Asset Returns'!$F$1:$N$109,ROW(),0)-'Risk Factors'!$J13</f>
        <v>0.11062242259979248</v>
      </c>
      <c r="R13" s="260">
        <f>HLOOKUP(R$1,'Asset Returns'!$F$1:$N$109,ROW(),0)-'Risk Factors'!$J13</f>
        <v>3.2656820321083066E-2</v>
      </c>
      <c r="S13" s="260">
        <f>HLOOKUP(S$1,'Asset Returns'!$F$1:$N$109,ROW(),0)-'Risk Factors'!$J13</f>
        <v>3.7266423755884168E-2</v>
      </c>
      <c r="T13" s="260">
        <f>HLOOKUP(T$1,'Asset Returns'!$F$1:$N$109,ROW(),0)*Portfolios!$G$10</f>
        <v>9.8703891038894667E-3</v>
      </c>
      <c r="U13" s="260">
        <f>HLOOKUP(U$1,'Asset Returns'!$F$1:$N$109,ROW(),0)*Portfolios!$G$11</f>
        <v>8.7056107819080356E-3</v>
      </c>
      <c r="V13" s="260">
        <f>HLOOKUP(V$1,'Asset Returns'!$F$1:$N$109,ROW(),0)*Portfolios!$G$12</f>
        <v>3.3216726779937741E-2</v>
      </c>
      <c r="W13" s="260">
        <f>HLOOKUP(W$1,'Asset Returns'!$F$1:$N$109,ROW(),0)*Portfolios!$G$13</f>
        <v>9.827046096324921E-3</v>
      </c>
      <c r="X13" s="260">
        <f>HLOOKUP(X$1,'Asset Returns'!$F$1:$N$109,ROW(),0)*Portfolios!$G$14</f>
        <v>7.4732847511768327E-3</v>
      </c>
      <c r="Y13" s="138">
        <f>Portfolios!$R$34</f>
        <v>-0.68211369708646341</v>
      </c>
      <c r="Z13" s="138">
        <f>Portfolios!$P$11</f>
        <v>0.9378377404978776</v>
      </c>
      <c r="AA13" s="138">
        <f>Portfolios!$P$12</f>
        <v>0.64097224418739052</v>
      </c>
      <c r="AB13" s="138">
        <f>Portfolios!$P$13</f>
        <v>-2.1312105104673718</v>
      </c>
      <c r="AC13" s="138">
        <f>Portfolios!$P$14</f>
        <v>-0.78557102570241866</v>
      </c>
      <c r="AD13" s="138">
        <f>Portfolios!$P$15</f>
        <v>0.17519882647973573</v>
      </c>
      <c r="AL13" s="343">
        <f>AL12*(1+O13+'Risk Factors'!$J13)</f>
        <v>7.6288852055886966E-2</v>
      </c>
      <c r="AM13" s="343">
        <f>AM12*(1+P13+'Risk Factors'!$J13)</f>
        <v>0.17454827277127102</v>
      </c>
      <c r="AN13" s="343">
        <f>AN12*(1+Q13+'Risk Factors'!$J13)</f>
        <v>0.154944152062235</v>
      </c>
      <c r="AO13" s="343">
        <f>AO12*(1+R13+'Risk Factors'!$J13)</f>
        <v>0.28926691235360175</v>
      </c>
      <c r="AP13" s="343">
        <f>AP12*(1+S13+'Risk Factors'!$J13)</f>
        <v>0.2283413649646365</v>
      </c>
      <c r="AR13" s="343">
        <f t="shared" si="3"/>
        <v>8.2618274928777061E-2</v>
      </c>
      <c r="AS13" s="343">
        <f t="shared" si="4"/>
        <v>0.18902994080440128</v>
      </c>
      <c r="AT13" s="343">
        <f t="shared" si="5"/>
        <v>0.16779933383066473</v>
      </c>
      <c r="AU13" s="343">
        <f t="shared" si="6"/>
        <v>0.31326639015515423</v>
      </c>
      <c r="AV13" s="343">
        <f t="shared" si="7"/>
        <v>0.2472860602810027</v>
      </c>
      <c r="AW13" s="418">
        <f t="shared" si="8"/>
        <v>0.92338955420763125</v>
      </c>
      <c r="AX13" s="343">
        <f t="shared" si="11"/>
        <v>6.1718838023006484E-2</v>
      </c>
      <c r="AZ13" s="421">
        <v>40543</v>
      </c>
      <c r="BA13" s="92">
        <f>HLOOKUP(BA$1,'AC4'!$F$1:$AC$109,ROW(),0)*'Management and Hedging'!$G$10</f>
        <v>8.1550199999999989E-3</v>
      </c>
      <c r="BB13" s="92">
        <f>HLOOKUP(BB$1,'AC4'!$F$1:$AC$109,ROW(),0)*'Management and Hedging'!$G$11</f>
        <v>8.8497938079833985E-2</v>
      </c>
      <c r="BC13" s="92">
        <f>IF('Management and Hedging'!$G$13="yes",BA13+BB13,CQ13)</f>
        <v>9.6652958079833984E-2</v>
      </c>
      <c r="BD13" s="138" t="e">
        <f>IF(IF('Management and Hedging'!$J$10="no",BL13,BO13)=0,NA(),IF('Management and Hedging'!$J$10="no",BL13,BO13))</f>
        <v>#N/A</v>
      </c>
      <c r="BE13" s="138" t="e">
        <f>IF(IF('Management and Hedging'!$J$10="no",BM13,BP13)=0,NA(),IF('Management and Hedging'!$J$10="no",BM13,BP13))</f>
        <v>#N/A</v>
      </c>
      <c r="BF13" s="138" t="e">
        <f>IF(IF('Management and Hedging'!$J$10="no",BN13,BQ13)=0,NA(),IF('Management and Hedging'!$J$10="no",BN13,BQ13))</f>
        <v>#N/A</v>
      </c>
      <c r="BG13" s="92">
        <f>IF('Management and Hedging'!$G$13="yes",BH13+BI13,CQ13)</f>
        <v>9.6752958079834001E-2</v>
      </c>
      <c r="BH13" s="92">
        <f>HLOOKUP(BH$1,'Asset Returns'!$F$1:$ZY$109,ROW(),0)*'Management and Hedging'!$G$10</f>
        <v>8.1750199999999999E-3</v>
      </c>
      <c r="BI13" s="92">
        <f>HLOOKUP(BI$1,'Asset Returns'!$F$1:$ZY$109,ROW(),0)*'Management and Hedging'!$G$11</f>
        <v>8.8577938079833995E-2</v>
      </c>
      <c r="BJ13" s="92">
        <f>HLOOKUP(BJ$1,'AC4'!$F$1:$AC$109,ROW(),0)</f>
        <v>4.0775099999999995E-2</v>
      </c>
      <c r="BK13" s="92">
        <f>HLOOKUP(BK$1,'AC4'!$F$1:$AC$109,ROW(),0)</f>
        <v>0.11062242259979248</v>
      </c>
      <c r="BL13" s="138">
        <f ca="1">'Management and Hedging'!$R$34</f>
        <v>2.5919346055080732</v>
      </c>
      <c r="BM13" s="138">
        <f ca="1">'Management and Hedging'!$R$36</f>
        <v>-2.1312105104673718</v>
      </c>
      <c r="BN13" s="138">
        <f>'Management and Hedging'!$R$38</f>
        <v>-1.1865814872722835</v>
      </c>
      <c r="BR13" s="208"/>
      <c r="BS13" s="208"/>
      <c r="BT13" s="208"/>
      <c r="BU13" s="208"/>
      <c r="BV13" s="208"/>
      <c r="BW13" s="208"/>
      <c r="BX13" s="208"/>
      <c r="BY13" s="208"/>
      <c r="BZ13" s="208"/>
      <c r="CA13" s="208"/>
      <c r="CB13" s="208"/>
      <c r="CC13" s="208"/>
      <c r="CD13" s="208"/>
      <c r="CE13" s="208"/>
      <c r="CF13" s="208"/>
      <c r="CG13" s="208"/>
      <c r="CH13" s="208"/>
      <c r="CI13" s="208"/>
      <c r="CJ13" s="208"/>
      <c r="CK13" s="343">
        <f>CK12*(1+BA13+'Risk Factors'!$J13)</f>
        <v>0.21686122292668381</v>
      </c>
      <c r="CL13" s="343">
        <f>CL12*(1+BB13+'Risk Factors'!$J13)</f>
        <v>0.48207010010394541</v>
      </c>
      <c r="CN13" s="343">
        <f t="shared" si="9"/>
        <v>0.3102754387746624</v>
      </c>
      <c r="CO13" s="343">
        <f t="shared" si="12"/>
        <v>0.68972456122533754</v>
      </c>
      <c r="CP13" s="418">
        <f t="shared" si="10"/>
        <v>0.69893132303062921</v>
      </c>
      <c r="CQ13" s="343">
        <f t="shared" si="13"/>
        <v>6.2332474849169373E-2</v>
      </c>
      <c r="CS13" s="331"/>
      <c r="CT13" s="260"/>
      <c r="CU13" s="260"/>
      <c r="CV13" s="260"/>
      <c r="CW13" s="260"/>
      <c r="CX13" s="260"/>
      <c r="CY13" s="260"/>
      <c r="CZ13" s="260"/>
      <c r="DB13" s="331">
        <v>0.6</v>
      </c>
      <c r="DC13" s="183">
        <v>-0.40344820197870562</v>
      </c>
      <c r="DD13" s="183">
        <v>0.42501766194337154</v>
      </c>
      <c r="DE13" s="183">
        <v>0.16201078556980081</v>
      </c>
      <c r="DF13" s="183">
        <v>0.38333740819996653</v>
      </c>
      <c r="DG13" s="183"/>
      <c r="DH13" s="260"/>
      <c r="DI13" s="260"/>
    </row>
    <row r="14" spans="5:114">
      <c r="F14" s="421">
        <v>40574</v>
      </c>
      <c r="G14" s="92">
        <f>IF(Portfolios!$G$16="yes",SUM(T14:X14),AX14)</f>
        <v>5.2848514169454575E-2</v>
      </c>
      <c r="H14" s="138" t="e">
        <f>IF(IF(Portfolios!$J$10="no",'AC3'!Y14,'AC3'!AE14)=0,NA(),IF(Portfolios!$J$10="no",Y14,AE14))</f>
        <v>#N/A</v>
      </c>
      <c r="I14" s="138" t="e">
        <f>IF(Portfolios!$J$11="no",NA(),IF(IF(Portfolios!$J$10="no",'AC3'!Z14,'AC3'!AF14)=0,NA(),IF(Portfolios!$J$10="no",Z14,AF14)))</f>
        <v>#N/A</v>
      </c>
      <c r="J14" s="138" t="e">
        <f>IF(Portfolios!$J$11="no",NA(),IF(IF(Portfolios!$J$10="no",'AC3'!AA14,'AC3'!AG14)=0,NA(),IF(Portfolios!$J$10="no",AA14,AG14)))</f>
        <v>#N/A</v>
      </c>
      <c r="K14" s="138" t="e">
        <f>IF(Portfolios!$J$11="no",NA(),IF(IF(Portfolios!$J$10="no",'AC3'!AB14,'AC3'!AH14)=0,NA(),IF(Portfolios!$J$10="no",AB14,AH14)))</f>
        <v>#N/A</v>
      </c>
      <c r="L14" s="138" t="e">
        <f>IF(Portfolios!$J$11="no",NA(),IF(IF(Portfolios!$J$10="no",'AC3'!AC14,'AC3'!AI14)=0,NA(),IF(Portfolios!$J$10="no",AC14,AI14)))</f>
        <v>#N/A</v>
      </c>
      <c r="M14" s="138" t="e">
        <f>IF(Portfolios!$J$11="no",NA(),IF(IF(Portfolios!$J$10="no",'AC3'!AD14,'AC3'!AJ14)=0,NA(),IF(Portfolios!$J$10="no",AD14,AJ14)))</f>
        <v>#N/A</v>
      </c>
      <c r="N14" s="92">
        <f>G14-'Risk Factors'!J14</f>
        <v>5.2748514169454572E-2</v>
      </c>
      <c r="O14" s="260">
        <f>HLOOKUP(O$1,'Asset Returns'!$F$1:$N$109,ROW(),0)-'Risk Factors'!$J14</f>
        <v>6.5260955893993375E-2</v>
      </c>
      <c r="P14" s="260">
        <f>HLOOKUP(P$1,'Asset Returns'!$F$1:$N$109,ROW(),0)-'Risk Factors'!$J14</f>
        <v>-0.14630505273342131</v>
      </c>
      <c r="Q14" s="260">
        <f>HLOOKUP(Q$1,'Asset Returns'!$F$1:$N$109,ROW(),0)-'Risk Factors'!$J14</f>
        <v>8.8675314390659329E-2</v>
      </c>
      <c r="R14" s="260">
        <f>HLOOKUP(R$1,'Asset Returns'!$F$1:$N$109,ROW(),0)-'Risk Factors'!$J14</f>
        <v>4.5072430574893949E-2</v>
      </c>
      <c r="S14" s="260">
        <f>HLOOKUP(S$1,'Asset Returns'!$F$1:$N$109,ROW(),0)-'Risk Factors'!$J14</f>
        <v>0.10364300181865692</v>
      </c>
      <c r="T14" s="260">
        <f>HLOOKUP(T$1,'Asset Returns'!$F$1:$N$109,ROW(),0)*Portfolios!$G$10</f>
        <v>6.5360955893993379E-3</v>
      </c>
      <c r="U14" s="260">
        <f>HLOOKUP(U$1,'Asset Returns'!$F$1:$N$109,ROW(),0)*Portfolios!$G$11</f>
        <v>-1.4620505273342133E-2</v>
      </c>
      <c r="V14" s="260">
        <f>HLOOKUP(V$1,'Asset Returns'!$F$1:$N$109,ROW(),0)*Portfolios!$G$12</f>
        <v>2.6632594317197798E-2</v>
      </c>
      <c r="W14" s="260">
        <f>HLOOKUP(W$1,'Asset Returns'!$F$1:$N$109,ROW(),0)*Portfolios!$G$13</f>
        <v>1.3551729172468186E-2</v>
      </c>
      <c r="X14" s="260">
        <f>HLOOKUP(X$1,'Asset Returns'!$F$1:$N$109,ROW(),0)*Portfolios!$G$14</f>
        <v>2.0748600363731381E-2</v>
      </c>
      <c r="Y14" s="138">
        <f>Portfolios!$R$34</f>
        <v>-0.68211369708646341</v>
      </c>
      <c r="Z14" s="138">
        <f>Portfolios!$P$11</f>
        <v>0.9378377404978776</v>
      </c>
      <c r="AA14" s="138">
        <f>Portfolios!$P$12</f>
        <v>0.64097224418739052</v>
      </c>
      <c r="AB14" s="138">
        <f>Portfolios!$P$13</f>
        <v>-2.1312105104673718</v>
      </c>
      <c r="AC14" s="138">
        <f>Portfolios!$P$14</f>
        <v>-0.78557102570241866</v>
      </c>
      <c r="AD14" s="138">
        <f>Portfolios!$P$15</f>
        <v>0.17519882647973573</v>
      </c>
      <c r="AL14" s="343">
        <f>AL13*(1+O14+'Risk Factors'!$J14)</f>
        <v>8.1275164350315177E-2</v>
      </c>
      <c r="AM14" s="343">
        <f>AM13*(1+P14+'Risk Factors'!$J14)</f>
        <v>0.14902843334621974</v>
      </c>
      <c r="AN14" s="343">
        <f>AN13*(1+Q14+'Risk Factors'!$J14)</f>
        <v>0.16869936787455403</v>
      </c>
      <c r="AO14" s="343">
        <f>AO13*(1+R14+'Risk Factors'!$J14)</f>
        <v>0.30233380186950876</v>
      </c>
      <c r="AP14" s="343">
        <f>AP13*(1+S14+'Risk Factors'!$J14)</f>
        <v>0.25203018360543739</v>
      </c>
      <c r="AR14" s="343">
        <f t="shared" si="3"/>
        <v>8.5250662676254918E-2</v>
      </c>
      <c r="AS14" s="343">
        <f t="shared" si="4"/>
        <v>0.15631801918737123</v>
      </c>
      <c r="AT14" s="343">
        <f t="shared" si="5"/>
        <v>0.17695113900209875</v>
      </c>
      <c r="AU14" s="343">
        <f t="shared" si="6"/>
        <v>0.31712217581885738</v>
      </c>
      <c r="AV14" s="343">
        <f t="shared" si="7"/>
        <v>0.2643580033154177</v>
      </c>
      <c r="AW14" s="418">
        <f t="shared" si="8"/>
        <v>0.95336695104603508</v>
      </c>
      <c r="AX14" s="343">
        <f t="shared" si="11"/>
        <v>3.2464518037707002E-2</v>
      </c>
      <c r="AZ14" s="421">
        <v>40574</v>
      </c>
      <c r="BA14" s="92">
        <f>HLOOKUP(BA$1,'AC4'!$F$1:$AC$109,ROW(),0)*'Management and Hedging'!$G$10</f>
        <v>-2.0217479999999999E-2</v>
      </c>
      <c r="BB14" s="92">
        <f>HLOOKUP(BB$1,'AC4'!$F$1:$AC$109,ROW(),0)*'Management and Hedging'!$G$11</f>
        <v>7.0940251512527461E-2</v>
      </c>
      <c r="BC14" s="92">
        <f>IF('Management and Hedging'!$G$13="yes",BA14+BB14,CQ14)</f>
        <v>5.0722771512527465E-2</v>
      </c>
      <c r="BD14" s="138" t="e">
        <f>IF(IF('Management and Hedging'!$J$10="no",BL14,BO14)=0,NA(),IF('Management and Hedging'!$J$10="no",BL14,BO14))</f>
        <v>#N/A</v>
      </c>
      <c r="BE14" s="138" t="e">
        <f>IF(IF('Management and Hedging'!$J$10="no",BM14,BP14)=0,NA(),IF('Management and Hedging'!$J$10="no",BM14,BP14))</f>
        <v>#N/A</v>
      </c>
      <c r="BF14" s="138" t="e">
        <f>IF(IF('Management and Hedging'!$J$10="no",BN14,BQ14)=0,NA(),IF('Management and Hedging'!$J$10="no",BN14,BQ14))</f>
        <v>#N/A</v>
      </c>
      <c r="BG14" s="92">
        <f>IF('Management and Hedging'!$G$13="yes",BH14+BI14,CQ14)</f>
        <v>5.0822771512527468E-2</v>
      </c>
      <c r="BH14" s="92">
        <f>HLOOKUP(BH$1,'Asset Returns'!$F$1:$ZY$109,ROW(),0)*'Management and Hedging'!$G$10</f>
        <v>-2.019748E-2</v>
      </c>
      <c r="BI14" s="92">
        <f>HLOOKUP(BI$1,'Asset Returns'!$F$1:$ZY$109,ROW(),0)*'Management and Hedging'!$G$11</f>
        <v>7.1020251512527471E-2</v>
      </c>
      <c r="BJ14" s="92">
        <f>HLOOKUP(BJ$1,'AC4'!$F$1:$AC$109,ROW(),0)</f>
        <v>-0.10108739999999999</v>
      </c>
      <c r="BK14" s="92">
        <f>HLOOKUP(BK$1,'AC4'!$F$1:$AC$109,ROW(),0)</f>
        <v>8.8675314390659329E-2</v>
      </c>
      <c r="BL14" s="138">
        <f ca="1">'Management and Hedging'!$R$34</f>
        <v>2.5919346055080732</v>
      </c>
      <c r="BM14" s="138">
        <f ca="1">'Management and Hedging'!$R$36</f>
        <v>-2.1312105104673718</v>
      </c>
      <c r="BN14" s="138">
        <f>'Management and Hedging'!$R$38</f>
        <v>-1.1865814872722835</v>
      </c>
      <c r="BR14" s="208"/>
      <c r="BS14" s="208"/>
      <c r="BT14" s="208"/>
      <c r="BU14" s="208"/>
      <c r="BV14" s="208"/>
      <c r="BW14" s="208"/>
      <c r="BX14" s="208"/>
      <c r="BY14" s="208"/>
      <c r="BZ14" s="208"/>
      <c r="CA14" s="208"/>
      <c r="CB14" s="208"/>
      <c r="CC14" s="208"/>
      <c r="CD14" s="208"/>
      <c r="CE14" s="208"/>
      <c r="CF14" s="208"/>
      <c r="CG14" s="208"/>
      <c r="CH14" s="208"/>
      <c r="CI14" s="208"/>
      <c r="CJ14" s="208"/>
      <c r="CK14" s="343">
        <f>CK13*(1+BA14+'Risk Factors'!$J14)</f>
        <v>0.2124985216116807</v>
      </c>
      <c r="CL14" s="343">
        <f>CL13*(1+BB14+'Risk Factors'!$J14)</f>
        <v>0.51631648126199903</v>
      </c>
      <c r="CN14" s="343">
        <f t="shared" si="9"/>
        <v>0.29156716145223421</v>
      </c>
      <c r="CO14" s="343">
        <f t="shared" si="12"/>
        <v>0.70843283854776584</v>
      </c>
      <c r="CP14" s="418">
        <f t="shared" si="10"/>
        <v>0.72881500287367973</v>
      </c>
      <c r="CQ14" s="343">
        <f t="shared" si="13"/>
        <v>4.2756246369775264E-2</v>
      </c>
      <c r="CS14" s="331"/>
      <c r="CT14" s="260"/>
      <c r="CU14" s="260"/>
      <c r="CV14" s="260"/>
      <c r="CW14" s="260"/>
      <c r="CX14" s="260"/>
      <c r="CY14" s="260"/>
      <c r="CZ14" s="260"/>
      <c r="DB14" s="331">
        <v>0.7</v>
      </c>
      <c r="DC14" s="183">
        <v>-0.31305531999571312</v>
      </c>
      <c r="DD14" s="183">
        <v>0.42056780296037921</v>
      </c>
      <c r="DE14" s="183">
        <v>0.15993623522339934</v>
      </c>
      <c r="DF14" s="183">
        <v>0.38193907215651457</v>
      </c>
      <c r="DG14" s="183"/>
      <c r="DH14" s="260"/>
      <c r="DI14" s="260"/>
    </row>
    <row r="15" spans="5:114">
      <c r="F15" s="421">
        <v>40602</v>
      </c>
      <c r="G15" s="92">
        <f>IF(Portfolios!$G$16="yes",SUM(T15:X15),AX15)</f>
        <v>3.7497224204707885E-2</v>
      </c>
      <c r="H15" s="138" t="e">
        <f>IF(IF(Portfolios!$J$10="no",'AC3'!Y15,'AC3'!AE15)=0,NA(),IF(Portfolios!$J$10="no",Y15,AE15))</f>
        <v>#N/A</v>
      </c>
      <c r="I15" s="138" t="e">
        <f>IF(Portfolios!$J$11="no",NA(),IF(IF(Portfolios!$J$10="no",'AC3'!Z15,'AC3'!AF15)=0,NA(),IF(Portfolios!$J$10="no",Z15,AF15)))</f>
        <v>#N/A</v>
      </c>
      <c r="J15" s="138" t="e">
        <f>IF(Portfolios!$J$11="no",NA(),IF(IF(Portfolios!$J$10="no",'AC3'!AA15,'AC3'!AG15)=0,NA(),IF(Portfolios!$J$10="no",AA15,AG15)))</f>
        <v>#N/A</v>
      </c>
      <c r="K15" s="138" t="e">
        <f>IF(Portfolios!$J$11="no",NA(),IF(IF(Portfolios!$J$10="no",'AC3'!AB15,'AC3'!AH15)=0,NA(),IF(Portfolios!$J$10="no",AB15,AH15)))</f>
        <v>#N/A</v>
      </c>
      <c r="L15" s="138" t="e">
        <f>IF(Portfolios!$J$11="no",NA(),IF(IF(Portfolios!$J$10="no",'AC3'!AC15,'AC3'!AI15)=0,NA(),IF(Portfolios!$J$10="no",AC15,AI15)))</f>
        <v>#N/A</v>
      </c>
      <c r="M15" s="138" t="e">
        <f>IF(Portfolios!$J$11="no",NA(),IF(IF(Portfolios!$J$10="no",'AC3'!AD15,'AC3'!AJ15)=0,NA(),IF(Portfolios!$J$10="no",AD15,AJ15)))</f>
        <v>#N/A</v>
      </c>
      <c r="N15" s="92">
        <f>G15-'Risk Factors'!J15</f>
        <v>3.7397224204707882E-2</v>
      </c>
      <c r="O15" s="260">
        <f>HLOOKUP(O$1,'Asset Returns'!$F$1:$N$109,ROW(),0)-'Risk Factors'!$J15</f>
        <v>4.5312324368953702E-2</v>
      </c>
      <c r="P15" s="260">
        <f>HLOOKUP(P$1,'Asset Returns'!$F$1:$N$109,ROW(),0)-'Risk Factors'!$J15</f>
        <v>-4.2806638574600223E-2</v>
      </c>
      <c r="Q15" s="260">
        <f>HLOOKUP(Q$1,'Asset Returns'!$F$1:$N$109,ROW(),0)-'Risk Factors'!$J15</f>
        <v>-1.4876511948183179E-3</v>
      </c>
      <c r="R15" s="260">
        <f>HLOOKUP(R$1,'Asset Returns'!$F$1:$N$109,ROW(),0)-'Risk Factors'!$J15</f>
        <v>0.12332927604913711</v>
      </c>
      <c r="S15" s="260">
        <f>HLOOKUP(S$1,'Asset Returns'!$F$1:$N$109,ROW(),0)-'Risk Factors'!$J15</f>
        <v>2.970840844884515E-3</v>
      </c>
      <c r="T15" s="260">
        <f>HLOOKUP(T$1,'Asset Returns'!$F$1:$N$109,ROW(),0)*Portfolios!$G$10</f>
        <v>4.5412324368953707E-3</v>
      </c>
      <c r="U15" s="260">
        <f>HLOOKUP(U$1,'Asset Returns'!$F$1:$N$109,ROW(),0)*Portfolios!$G$11</f>
        <v>-4.2706638574600223E-3</v>
      </c>
      <c r="V15" s="260">
        <f>HLOOKUP(V$1,'Asset Returns'!$F$1:$N$109,ROW(),0)*Portfolios!$G$12</f>
        <v>-4.1629535844549536E-4</v>
      </c>
      <c r="W15" s="260">
        <f>HLOOKUP(W$1,'Asset Returns'!$F$1:$N$109,ROW(),0)*Portfolios!$G$13</f>
        <v>3.7028782814741132E-2</v>
      </c>
      <c r="X15" s="260">
        <f>HLOOKUP(X$1,'Asset Returns'!$F$1:$N$109,ROW(),0)*Portfolios!$G$14</f>
        <v>6.1416816897690279E-4</v>
      </c>
      <c r="Y15" s="138">
        <f>Portfolios!$R$34</f>
        <v>-0.68211369708646341</v>
      </c>
      <c r="Z15" s="138">
        <f>Portfolios!$P$11</f>
        <v>0.9378377404978776</v>
      </c>
      <c r="AA15" s="138">
        <f>Portfolios!$P$12</f>
        <v>0.64097224418739052</v>
      </c>
      <c r="AB15" s="138">
        <f>Portfolios!$P$13</f>
        <v>-2.1312105104673718</v>
      </c>
      <c r="AC15" s="138">
        <f>Portfolios!$P$14</f>
        <v>-0.78557102570241866</v>
      </c>
      <c r="AD15" s="138">
        <f>Portfolios!$P$15</f>
        <v>0.17519882647973573</v>
      </c>
      <c r="AL15" s="343">
        <f>AL14*(1+O15+'Risk Factors'!$J15)</f>
        <v>8.4966058476931713E-2</v>
      </c>
      <c r="AM15" s="343">
        <f>AM14*(1+P15+'Risk Factors'!$J15)</f>
        <v>0.14266392990596383</v>
      </c>
      <c r="AN15" s="343">
        <f>AN14*(1+Q15+'Risk Factors'!$J15)</f>
        <v>0.16846527199515782</v>
      </c>
      <c r="AO15" s="343">
        <f>AO14*(1+R15+'Risk Factors'!$J15)</f>
        <v>0.33965064415944546</v>
      </c>
      <c r="AP15" s="343">
        <f>AP14*(1+S15+'Risk Factors'!$J15)</f>
        <v>0.25280412818739673</v>
      </c>
      <c r="AR15" s="343">
        <f t="shared" si="3"/>
        <v>8.5950185285742636E-2</v>
      </c>
      <c r="AS15" s="343">
        <f t="shared" si="4"/>
        <v>0.14431634736050422</v>
      </c>
      <c r="AT15" s="343">
        <f t="shared" si="5"/>
        <v>0.17041653575266247</v>
      </c>
      <c r="AU15" s="343">
        <f t="shared" si="6"/>
        <v>0.34358467747273563</v>
      </c>
      <c r="AV15" s="343">
        <f t="shared" si="7"/>
        <v>0.2557322541283551</v>
      </c>
      <c r="AW15" s="418">
        <f t="shared" si="8"/>
        <v>0.9885500327248955</v>
      </c>
      <c r="AX15" s="343">
        <f t="shared" si="11"/>
        <v>3.6904029073230982E-2</v>
      </c>
      <c r="AZ15" s="421">
        <v>40602</v>
      </c>
      <c r="BA15" s="92">
        <f>HLOOKUP(BA$1,'AC4'!$F$1:$AC$109,ROW(),0)*'Management and Hedging'!$G$10</f>
        <v>1.7653480000000003E-2</v>
      </c>
      <c r="BB15" s="92">
        <f>HLOOKUP(BB$1,'AC4'!$F$1:$AC$109,ROW(),0)*'Management and Hedging'!$G$11</f>
        <v>-1.1901209558546543E-3</v>
      </c>
      <c r="BC15" s="92">
        <f>IF('Management and Hedging'!$G$13="yes",BA15+BB15,CQ15)</f>
        <v>1.6463359044145347E-2</v>
      </c>
      <c r="BD15" s="138" t="e">
        <f>IF(IF('Management and Hedging'!$J$10="no",BL15,BO15)=0,NA(),IF('Management and Hedging'!$J$10="no",BL15,BO15))</f>
        <v>#N/A</v>
      </c>
      <c r="BE15" s="138" t="e">
        <f>IF(IF('Management and Hedging'!$J$10="no",BM15,BP15)=0,NA(),IF('Management and Hedging'!$J$10="no",BM15,BP15))</f>
        <v>#N/A</v>
      </c>
      <c r="BF15" s="138" t="e">
        <f>IF(IF('Management and Hedging'!$J$10="no",BN15,BQ15)=0,NA(),IF('Management and Hedging'!$J$10="no",BN15,BQ15))</f>
        <v>#N/A</v>
      </c>
      <c r="BG15" s="92">
        <f>IF('Management and Hedging'!$G$13="yes",BH15+BI15,CQ15)</f>
        <v>1.6563359044145347E-2</v>
      </c>
      <c r="BH15" s="92">
        <f>HLOOKUP(BH$1,'Asset Returns'!$F$1:$ZY$109,ROW(),0)*'Management and Hedging'!$G$10</f>
        <v>1.7673480000000002E-2</v>
      </c>
      <c r="BI15" s="92">
        <f>HLOOKUP(BI$1,'Asset Returns'!$F$1:$ZY$109,ROW(),0)*'Management and Hedging'!$G$11</f>
        <v>-1.1101209558546544E-3</v>
      </c>
      <c r="BJ15" s="92">
        <f>HLOOKUP(BJ$1,'AC4'!$F$1:$AC$109,ROW(),0)</f>
        <v>8.826740000000001E-2</v>
      </c>
      <c r="BK15" s="92">
        <f>HLOOKUP(BK$1,'AC4'!$F$1:$AC$109,ROW(),0)</f>
        <v>-1.4876511948183179E-3</v>
      </c>
      <c r="BL15" s="138">
        <f ca="1">'Management and Hedging'!$R$34</f>
        <v>2.5919346055080732</v>
      </c>
      <c r="BM15" s="138">
        <f ca="1">'Management and Hedging'!$R$36</f>
        <v>-2.1312105104673718</v>
      </c>
      <c r="BN15" s="138">
        <f>'Management and Hedging'!$R$38</f>
        <v>-1.1865814872722835</v>
      </c>
      <c r="BR15" s="208"/>
      <c r="BS15" s="208"/>
      <c r="BT15" s="208"/>
      <c r="BU15" s="208"/>
      <c r="BV15" s="208"/>
      <c r="BW15" s="208"/>
      <c r="BX15" s="208"/>
      <c r="BY15" s="208"/>
      <c r="BZ15" s="208"/>
      <c r="CA15" s="208"/>
      <c r="CB15" s="208"/>
      <c r="CC15" s="208"/>
      <c r="CD15" s="208"/>
      <c r="CE15" s="208"/>
      <c r="CF15" s="208"/>
      <c r="CG15" s="208"/>
      <c r="CH15" s="208"/>
      <c r="CI15" s="208"/>
      <c r="CJ15" s="208"/>
      <c r="CK15" s="343">
        <f>CK14*(1+BA15+'Risk Factors'!$J15)</f>
        <v>0.21627110986514325</v>
      </c>
      <c r="CL15" s="343">
        <f>CL14*(1+BB15+'Risk Factors'!$J15)</f>
        <v>0.51575363384592221</v>
      </c>
      <c r="CN15" s="343">
        <f t="shared" si="9"/>
        <v>0.29544234907789779</v>
      </c>
      <c r="CO15" s="343">
        <f t="shared" si="12"/>
        <v>0.70455765092210232</v>
      </c>
      <c r="CP15" s="418">
        <f t="shared" si="10"/>
        <v>0.73202474371106541</v>
      </c>
      <c r="CQ15" s="343">
        <f t="shared" si="13"/>
        <v>4.4040542863825749E-3</v>
      </c>
      <c r="CS15" s="331"/>
      <c r="CT15" s="260"/>
      <c r="CU15" s="260"/>
      <c r="CV15" s="260"/>
      <c r="CW15" s="260"/>
      <c r="CX15" s="260"/>
      <c r="CY15" s="260"/>
      <c r="CZ15" s="260"/>
      <c r="DB15" s="331">
        <v>0.8</v>
      </c>
      <c r="DC15" s="183">
        <v>-0.22302326858670182</v>
      </c>
      <c r="DD15" s="183">
        <v>0.41400301915195686</v>
      </c>
      <c r="DE15" s="183">
        <v>0.15866332370201514</v>
      </c>
      <c r="DF15" s="183">
        <v>0.38436073130285114</v>
      </c>
      <c r="DG15" s="183"/>
      <c r="DH15" s="260"/>
      <c r="DI15" s="260"/>
    </row>
    <row r="16" spans="5:114">
      <c r="F16" s="421">
        <v>40633</v>
      </c>
      <c r="G16" s="92">
        <f>IF(Portfolios!$G$16="yes",SUM(T16:X16),AX16)</f>
        <v>4.9260756094008679E-2</v>
      </c>
      <c r="H16" s="138" t="e">
        <f>IF(IF(Portfolios!$J$10="no",'AC3'!Y16,'AC3'!AE16)=0,NA(),IF(Portfolios!$J$10="no",Y16,AE16))</f>
        <v>#N/A</v>
      </c>
      <c r="I16" s="138" t="e">
        <f>IF(Portfolios!$J$11="no",NA(),IF(IF(Portfolios!$J$10="no",'AC3'!Z16,'AC3'!AF16)=0,NA(),IF(Portfolios!$J$10="no",Z16,AF16)))</f>
        <v>#N/A</v>
      </c>
      <c r="J16" s="138" t="e">
        <f>IF(Portfolios!$J$11="no",NA(),IF(IF(Portfolios!$J$10="no",'AC3'!AA16,'AC3'!AG16)=0,NA(),IF(Portfolios!$J$10="no",AA16,AG16)))</f>
        <v>#N/A</v>
      </c>
      <c r="K16" s="138" t="e">
        <f>IF(Portfolios!$J$11="no",NA(),IF(IF(Portfolios!$J$10="no",'AC3'!AB16,'AC3'!AH16)=0,NA(),IF(Portfolios!$J$10="no",AB16,AH16)))</f>
        <v>#N/A</v>
      </c>
      <c r="L16" s="138" t="e">
        <f>IF(Portfolios!$J$11="no",NA(),IF(IF(Portfolios!$J$10="no",'AC3'!AC16,'AC3'!AI16)=0,NA(),IF(Portfolios!$J$10="no",AC16,AI16)))</f>
        <v>#N/A</v>
      </c>
      <c r="M16" s="138" t="e">
        <f>IF(Portfolios!$J$11="no",NA(),IF(IF(Portfolios!$J$10="no",'AC3'!AD16,'AC3'!AJ16)=0,NA(),IF(Portfolios!$J$10="no",AD16,AJ16)))</f>
        <v>#N/A</v>
      </c>
      <c r="N16" s="92">
        <f>G16-'Risk Factors'!J16</f>
        <v>4.9160756094008676E-2</v>
      </c>
      <c r="O16" s="260">
        <f>HLOOKUP(O$1,'Asset Returns'!$F$1:$N$109,ROW(),0)-'Risk Factors'!$J16</f>
        <v>-9.5755865967273715E-2</v>
      </c>
      <c r="P16" s="260">
        <f>HLOOKUP(P$1,'Asset Returns'!$F$1:$N$109,ROW(),0)-'Risk Factors'!$J16</f>
        <v>0.17006640305519105</v>
      </c>
      <c r="Q16" s="260">
        <f>HLOOKUP(Q$1,'Asset Returns'!$F$1:$N$109,ROW(),0)-'Risk Factors'!$J16</f>
        <v>0.25962974300384523</v>
      </c>
      <c r="R16" s="260">
        <f>HLOOKUP(R$1,'Asset Returns'!$F$1:$N$109,ROW(),0)-'Risk Factors'!$J16</f>
        <v>-0.12529815564155578</v>
      </c>
      <c r="S16" s="260">
        <f>HLOOKUP(S$1,'Asset Returns'!$F$1:$N$109,ROW(),0)-'Risk Factors'!$J16</f>
        <v>7.1511308826506135E-3</v>
      </c>
      <c r="T16" s="260">
        <f>HLOOKUP(T$1,'Asset Returns'!$F$1:$N$109,ROW(),0)*Portfolios!$G$10</f>
        <v>-9.5655865967273716E-3</v>
      </c>
      <c r="U16" s="260">
        <f>HLOOKUP(U$1,'Asset Returns'!$F$1:$N$109,ROW(),0)*Portfolios!$G$11</f>
        <v>1.7016640305519106E-2</v>
      </c>
      <c r="V16" s="260">
        <f>HLOOKUP(V$1,'Asset Returns'!$F$1:$N$109,ROW(),0)*Portfolios!$G$12</f>
        <v>7.7918922901153556E-2</v>
      </c>
      <c r="W16" s="260">
        <f>HLOOKUP(W$1,'Asset Returns'!$F$1:$N$109,ROW(),0)*Portfolios!$G$13</f>
        <v>-3.7559446692466733E-2</v>
      </c>
      <c r="X16" s="260">
        <f>HLOOKUP(X$1,'Asset Returns'!$F$1:$N$109,ROW(),0)*Portfolios!$G$14</f>
        <v>1.4502261765301225E-3</v>
      </c>
      <c r="Y16" s="138">
        <f>Portfolios!$R$34</f>
        <v>-0.68211369708646341</v>
      </c>
      <c r="Z16" s="138">
        <f>Portfolios!$P$11</f>
        <v>0.9378377404978776</v>
      </c>
      <c r="AA16" s="138">
        <f>Portfolios!$P$12</f>
        <v>0.64097224418739052</v>
      </c>
      <c r="AB16" s="138">
        <f>Portfolios!$P$13</f>
        <v>-2.1312105104673718</v>
      </c>
      <c r="AC16" s="138">
        <f>Portfolios!$P$14</f>
        <v>-0.78557102570241866</v>
      </c>
      <c r="AD16" s="138">
        <f>Portfolios!$P$15</f>
        <v>0.17519882647973573</v>
      </c>
      <c r="AL16" s="343">
        <f>AL15*(1+O16+'Risk Factors'!$J16)</f>
        <v>7.6838556575494793E-2</v>
      </c>
      <c r="AM16" s="343">
        <f>AM15*(1+P16+'Risk Factors'!$J16)</f>
        <v>0.16694053770377959</v>
      </c>
      <c r="AN16" s="343">
        <f>AN15*(1+Q16+'Risk Factors'!$J16)</f>
        <v>0.21222071379553303</v>
      </c>
      <c r="AO16" s="343">
        <f>AO15*(1+R16+'Risk Factors'!$J16)</f>
        <v>0.2971270099482165</v>
      </c>
      <c r="AP16" s="343">
        <f>AP15*(1+S16+'Risk Factors'!$J16)</f>
        <v>0.25463724400855792</v>
      </c>
      <c r="AR16" s="343">
        <f t="shared" si="3"/>
        <v>7.6246573449537017E-2</v>
      </c>
      <c r="AS16" s="343">
        <f t="shared" si="4"/>
        <v>0.16565438676910063</v>
      </c>
      <c r="AT16" s="343">
        <f t="shared" si="5"/>
        <v>0.21058571325485739</v>
      </c>
      <c r="AU16" s="343">
        <f t="shared" si="6"/>
        <v>0.29483787043291582</v>
      </c>
      <c r="AV16" s="343">
        <f t="shared" si="7"/>
        <v>0.25267545609358905</v>
      </c>
      <c r="AW16" s="418">
        <f t="shared" si="8"/>
        <v>1.007764062031582</v>
      </c>
      <c r="AX16" s="343">
        <f t="shared" si="11"/>
        <v>1.9436577482804696E-2</v>
      </c>
      <c r="AZ16" s="421">
        <v>40633</v>
      </c>
      <c r="BA16" s="92">
        <f>HLOOKUP(BA$1,'AC4'!$F$1:$AC$109,ROW(),0)*'Management and Hedging'!$G$10</f>
        <v>-2.7723000000000001E-3</v>
      </c>
      <c r="BB16" s="92">
        <f>HLOOKUP(BB$1,'AC4'!$F$1:$AC$109,ROW(),0)*'Management and Hedging'!$G$11</f>
        <v>0.20770379440307618</v>
      </c>
      <c r="BC16" s="92">
        <f>IF('Management and Hedging'!$G$13="yes",BA16+BB16,CQ16)</f>
        <v>0.20493149440307618</v>
      </c>
      <c r="BD16" s="138" t="e">
        <f>IF(IF('Management and Hedging'!$J$10="no",BL16,BO16)=0,NA(),IF('Management and Hedging'!$J$10="no",BL16,BO16))</f>
        <v>#N/A</v>
      </c>
      <c r="BE16" s="138" t="e">
        <f>IF(IF('Management and Hedging'!$J$10="no",BM16,BP16)=0,NA(),IF('Management and Hedging'!$J$10="no",BM16,BP16))</f>
        <v>#N/A</v>
      </c>
      <c r="BF16" s="138" t="e">
        <f>IF(IF('Management and Hedging'!$J$10="no",BN16,BQ16)=0,NA(),IF('Management and Hedging'!$J$10="no",BN16,BQ16))</f>
        <v>#N/A</v>
      </c>
      <c r="BG16" s="92">
        <f>IF('Management and Hedging'!$G$13="yes",BH16+BI16,CQ16)</f>
        <v>0.20503149440307616</v>
      </c>
      <c r="BH16" s="92">
        <f>HLOOKUP(BH$1,'Asset Returns'!$F$1:$ZY$109,ROW(),0)*'Management and Hedging'!$G$10</f>
        <v>-2.7523000000000001E-3</v>
      </c>
      <c r="BI16" s="92">
        <f>HLOOKUP(BI$1,'Asset Returns'!$F$1:$ZY$109,ROW(),0)*'Management and Hedging'!$G$11</f>
        <v>0.20778379440307618</v>
      </c>
      <c r="BJ16" s="92">
        <f>HLOOKUP(BJ$1,'AC4'!$F$1:$AC$109,ROW(),0)</f>
        <v>-1.3861499999999999E-2</v>
      </c>
      <c r="BK16" s="92">
        <f>HLOOKUP(BK$1,'AC4'!$F$1:$AC$109,ROW(),0)</f>
        <v>0.25962974300384523</v>
      </c>
      <c r="BL16" s="138">
        <f ca="1">'Management and Hedging'!$R$34</f>
        <v>2.5919346055080732</v>
      </c>
      <c r="BM16" s="138">
        <f ca="1">'Management and Hedging'!$R$36</f>
        <v>-2.1312105104673718</v>
      </c>
      <c r="BN16" s="138">
        <f>'Management and Hedging'!$R$38</f>
        <v>-1.1865814872722835</v>
      </c>
      <c r="BR16" s="208"/>
      <c r="BS16" s="208"/>
      <c r="BT16" s="208"/>
      <c r="BU16" s="208"/>
      <c r="BV16" s="208"/>
      <c r="BW16" s="208"/>
      <c r="BX16" s="208"/>
      <c r="BY16" s="208"/>
      <c r="BZ16" s="208"/>
      <c r="CA16" s="208"/>
      <c r="CB16" s="208"/>
      <c r="CC16" s="208"/>
      <c r="CD16" s="208"/>
      <c r="CE16" s="208"/>
      <c r="CF16" s="208"/>
      <c r="CG16" s="208"/>
      <c r="CH16" s="208"/>
      <c r="CI16" s="208"/>
      <c r="CJ16" s="208"/>
      <c r="CK16" s="343">
        <f>CK15*(1+BA16+'Risk Factors'!$J16)</f>
        <v>0.21569316857825063</v>
      </c>
      <c r="CL16" s="343">
        <f>CL15*(1+BB16+'Risk Factors'!$J16)</f>
        <v>0.62292919593627971</v>
      </c>
      <c r="CN16" s="343">
        <f t="shared" si="9"/>
        <v>0.25719939952127696</v>
      </c>
      <c r="CO16" s="343">
        <f t="shared" si="12"/>
        <v>0.74280060047872309</v>
      </c>
      <c r="CP16" s="418">
        <f t="shared" si="10"/>
        <v>0.83862236451453032</v>
      </c>
      <c r="CQ16" s="343">
        <f t="shared" si="13"/>
        <v>0.14562024264789009</v>
      </c>
      <c r="CS16" s="92"/>
      <c r="CT16" s="260"/>
      <c r="CU16" s="260"/>
      <c r="CV16" s="260"/>
      <c r="CW16" s="260"/>
      <c r="CX16" s="260"/>
      <c r="CY16" s="260"/>
      <c r="CZ16" s="260"/>
      <c r="DB16" s="331">
        <v>0.9</v>
      </c>
      <c r="DC16" s="183">
        <v>-0.12575580481950113</v>
      </c>
      <c r="DD16" s="183">
        <v>0.4105992165644643</v>
      </c>
      <c r="DE16" s="183">
        <v>0.15998021290931755</v>
      </c>
      <c r="DF16" s="183">
        <v>0.39084410923233359</v>
      </c>
      <c r="DG16" s="183"/>
      <c r="DH16" s="260"/>
      <c r="DI16" s="260"/>
    </row>
    <row r="17" spans="6:113">
      <c r="F17" s="421">
        <v>40663</v>
      </c>
      <c r="G17" s="92">
        <f>IF(Portfolios!$G$16="yes",SUM(T17:X17),AX17)</f>
        <v>-4.3694856174988667E-2</v>
      </c>
      <c r="H17" s="138" t="e">
        <f>IF(IF(Portfolios!$J$10="no",'AC3'!Y17,'AC3'!AE17)=0,NA(),IF(Portfolios!$J$10="no",Y17,AE17))</f>
        <v>#N/A</v>
      </c>
      <c r="I17" s="138" t="e">
        <f>IF(Portfolios!$J$11="no",NA(),IF(IF(Portfolios!$J$10="no",'AC3'!Z17,'AC3'!AF17)=0,NA(),IF(Portfolios!$J$10="no",Z17,AF17)))</f>
        <v>#N/A</v>
      </c>
      <c r="J17" s="138" t="e">
        <f>IF(Portfolios!$J$11="no",NA(),IF(IF(Portfolios!$J$10="no",'AC3'!AA17,'AC3'!AG17)=0,NA(),IF(Portfolios!$J$10="no",AA17,AG17)))</f>
        <v>#N/A</v>
      </c>
      <c r="K17" s="138" t="e">
        <f>IF(Portfolios!$J$11="no",NA(),IF(IF(Portfolios!$J$10="no",'AC3'!AB17,'AC3'!AH17)=0,NA(),IF(Portfolios!$J$10="no",AB17,AH17)))</f>
        <v>#N/A</v>
      </c>
      <c r="L17" s="138" t="e">
        <f>IF(Portfolios!$J$11="no",NA(),IF(IF(Portfolios!$J$10="no",'AC3'!AC17,'AC3'!AI17)=0,NA(),IF(Portfolios!$J$10="no",AC17,AI17)))</f>
        <v>#N/A</v>
      </c>
      <c r="M17" s="138" t="e">
        <f>IF(Portfolios!$J$11="no",NA(),IF(IF(Portfolios!$J$10="no",'AC3'!AD17,'AC3'!AJ17)=0,NA(),IF(Portfolios!$J$10="no",AD17,AJ17)))</f>
        <v>#N/A</v>
      </c>
      <c r="N17" s="92">
        <f>G17-'Risk Factors'!J17</f>
        <v>-4.3694856174988667E-2</v>
      </c>
      <c r="O17" s="260">
        <f>HLOOKUP(O$1,'Asset Returns'!$F$1:$N$109,ROW(),0)-'Risk Factors'!$J17</f>
        <v>6.0143981128931046E-2</v>
      </c>
      <c r="P17" s="260">
        <f>HLOOKUP(P$1,'Asset Returns'!$F$1:$N$109,ROW(),0)-'Risk Factors'!$J17</f>
        <v>-6.9666438503190875E-4</v>
      </c>
      <c r="Q17" s="260">
        <f>HLOOKUP(Q$1,'Asset Returns'!$F$1:$N$109,ROW(),0)-'Risk Factors'!$J17</f>
        <v>-0.18102307617664337</v>
      </c>
      <c r="R17" s="260">
        <f>HLOOKUP(R$1,'Asset Returns'!$F$1:$N$109,ROW(),0)-'Risk Factors'!$J17</f>
        <v>-1.5144772827625275E-2</v>
      </c>
      <c r="S17" s="260">
        <f>HLOOKUP(S$1,'Asset Returns'!$F$1:$N$109,ROW(),0)-'Risk Factors'!$J17</f>
        <v>4.605383425951004E-2</v>
      </c>
      <c r="T17" s="260">
        <f>HLOOKUP(T$1,'Asset Returns'!$F$1:$N$109,ROW(),0)*Portfolios!$G$10</f>
        <v>6.0143981128931052E-3</v>
      </c>
      <c r="U17" s="260">
        <f>HLOOKUP(U$1,'Asset Returns'!$F$1:$N$109,ROW(),0)*Portfolios!$G$11</f>
        <v>-6.9666438503190878E-5</v>
      </c>
      <c r="V17" s="260">
        <f>HLOOKUP(V$1,'Asset Returns'!$F$1:$N$109,ROW(),0)*Portfolios!$G$12</f>
        <v>-5.430692285299301E-2</v>
      </c>
      <c r="W17" s="260">
        <f>HLOOKUP(W$1,'Asset Returns'!$F$1:$N$109,ROW(),0)*Portfolios!$G$13</f>
        <v>-4.5434318482875822E-3</v>
      </c>
      <c r="X17" s="260">
        <f>HLOOKUP(X$1,'Asset Returns'!$F$1:$N$109,ROW(),0)*Portfolios!$G$14</f>
        <v>9.210766851902006E-3</v>
      </c>
      <c r="Y17" s="138">
        <f>Portfolios!$R$34</f>
        <v>-0.68211369708646341</v>
      </c>
      <c r="Z17" s="138">
        <f>Portfolios!$P$11</f>
        <v>0.9378377404978776</v>
      </c>
      <c r="AA17" s="138">
        <f>Portfolios!$P$12</f>
        <v>0.64097224418739052</v>
      </c>
      <c r="AB17" s="138">
        <f>Portfolios!$P$13</f>
        <v>-2.1312105104673718</v>
      </c>
      <c r="AC17" s="138">
        <f>Portfolios!$P$14</f>
        <v>-0.78557102570241866</v>
      </c>
      <c r="AD17" s="138">
        <f>Portfolios!$P$15</f>
        <v>0.17519882647973573</v>
      </c>
      <c r="AL17" s="343">
        <f>AL16*(1+O17+'Risk Factors'!$J17)</f>
        <v>8.1459933272145651E-2</v>
      </c>
      <c r="AM17" s="343">
        <f>AM16*(1+P17+'Risk Factors'!$J17)</f>
        <v>0.1668242361767433</v>
      </c>
      <c r="AN17" s="343">
        <f>AN16*(1+Q17+'Risk Factors'!$J17)</f>
        <v>0.17380386735586262</v>
      </c>
      <c r="AO17" s="343">
        <f>AO16*(1+R17+'Risk Factors'!$J17)</f>
        <v>0.29262708888159922</v>
      </c>
      <c r="AP17" s="343">
        <f>AP16*(1+S17+'Risk Factors'!$J17)</f>
        <v>0.26636426544042646</v>
      </c>
      <c r="AR17" s="343">
        <f t="shared" si="3"/>
        <v>8.3030929004214715E-2</v>
      </c>
      <c r="AS17" s="343">
        <f t="shared" si="4"/>
        <v>0.17004152537048439</v>
      </c>
      <c r="AT17" s="343">
        <f t="shared" si="5"/>
        <v>0.17715576224289811</v>
      </c>
      <c r="AU17" s="343">
        <f t="shared" si="6"/>
        <v>0.29827054928298385</v>
      </c>
      <c r="AV17" s="343">
        <f t="shared" si="7"/>
        <v>0.27150123409941884</v>
      </c>
      <c r="AW17" s="418">
        <f t="shared" si="8"/>
        <v>0.98107939112677733</v>
      </c>
      <c r="AX17" s="343">
        <f t="shared" si="11"/>
        <v>-2.6479085641345712E-2</v>
      </c>
      <c r="AZ17" s="421">
        <v>40663</v>
      </c>
      <c r="BA17" s="92">
        <f>HLOOKUP(BA$1,'AC4'!$F$1:$AC$109,ROW(),0)*'Management and Hedging'!$G$10</f>
        <v>4.2790600000000003E-3</v>
      </c>
      <c r="BB17" s="92">
        <f>HLOOKUP(BB$1,'AC4'!$F$1:$AC$109,ROW(),0)*'Management and Hedging'!$G$11</f>
        <v>-0.1448184609413147</v>
      </c>
      <c r="BC17" s="92">
        <f>IF('Management and Hedging'!$G$13="yes",BA17+BB17,CQ17)</f>
        <v>-0.1405394009413147</v>
      </c>
      <c r="BD17" s="138" t="e">
        <f>IF(IF('Management and Hedging'!$J$10="no",BL17,BO17)=0,NA(),IF('Management and Hedging'!$J$10="no",BL17,BO17))</f>
        <v>#N/A</v>
      </c>
      <c r="BE17" s="138" t="e">
        <f>IF(IF('Management and Hedging'!$J$10="no",BM17,BP17)=0,NA(),IF('Management and Hedging'!$J$10="no",BM17,BP17))</f>
        <v>#N/A</v>
      </c>
      <c r="BF17" s="138" t="e">
        <f>IF(IF('Management and Hedging'!$J$10="no",BN17,BQ17)=0,NA(),IF('Management and Hedging'!$J$10="no",BN17,BQ17))</f>
        <v>#N/A</v>
      </c>
      <c r="BG17" s="92">
        <f>IF('Management and Hedging'!$G$13="yes",BH17+BI17,CQ17)</f>
        <v>-0.1405394009413147</v>
      </c>
      <c r="BH17" s="92">
        <f>HLOOKUP(BH$1,'Asset Returns'!$F$1:$ZY$109,ROW(),0)*'Management and Hedging'!$G$10</f>
        <v>4.2790600000000003E-3</v>
      </c>
      <c r="BI17" s="92">
        <f>HLOOKUP(BI$1,'Asset Returns'!$F$1:$ZY$109,ROW(),0)*'Management and Hedging'!$G$11</f>
        <v>-0.1448184609413147</v>
      </c>
      <c r="BJ17" s="92">
        <f>HLOOKUP(BJ$1,'AC4'!$F$1:$AC$109,ROW(),0)</f>
        <v>2.1395300000000003E-2</v>
      </c>
      <c r="BK17" s="92">
        <f>HLOOKUP(BK$1,'AC4'!$F$1:$AC$109,ROW(),0)</f>
        <v>-0.18102307617664337</v>
      </c>
      <c r="BL17" s="138">
        <f ca="1">'Management and Hedging'!$R$34</f>
        <v>2.5919346055080732</v>
      </c>
      <c r="BM17" s="138">
        <f ca="1">'Management and Hedging'!$R$36</f>
        <v>-2.1312105104673718</v>
      </c>
      <c r="BN17" s="138">
        <f>'Management and Hedging'!$R$38</f>
        <v>-1.1865814872722835</v>
      </c>
      <c r="BR17" s="208"/>
      <c r="BS17" s="208"/>
      <c r="BT17" s="208"/>
      <c r="BU17" s="208"/>
      <c r="BV17" s="208"/>
      <c r="BW17" s="208"/>
      <c r="BX17" s="208"/>
      <c r="BY17" s="208"/>
      <c r="BZ17" s="208"/>
      <c r="CA17" s="208"/>
      <c r="CB17" s="208"/>
      <c r="CC17" s="208"/>
      <c r="CD17" s="208"/>
      <c r="CE17" s="208"/>
      <c r="CF17" s="208"/>
      <c r="CG17" s="208"/>
      <c r="CH17" s="208"/>
      <c r="CI17" s="208"/>
      <c r="CJ17" s="208"/>
      <c r="CK17" s="343">
        <f>CK16*(1+BA17+'Risk Factors'!$J17)</f>
        <v>0.21661613258818707</v>
      </c>
      <c r="CL17" s="343">
        <f>CL16*(1+BB17+'Risk Factors'!$J17)</f>
        <v>0.532717548505377</v>
      </c>
      <c r="CN17" s="343">
        <f t="shared" si="9"/>
        <v>0.28907833459729371</v>
      </c>
      <c r="CO17" s="343">
        <f t="shared" si="12"/>
        <v>0.7109216654027064</v>
      </c>
      <c r="CP17" s="418">
        <f t="shared" si="10"/>
        <v>0.74933368109356402</v>
      </c>
      <c r="CQ17" s="343">
        <f t="shared" si="13"/>
        <v>-0.10647066808509764</v>
      </c>
      <c r="CS17" s="92"/>
      <c r="CT17" s="260"/>
      <c r="CU17" s="260"/>
      <c r="CV17" s="260"/>
      <c r="CW17" s="260"/>
      <c r="CX17" s="260"/>
      <c r="CY17" s="260"/>
      <c r="CZ17" s="260"/>
      <c r="DG17" s="183"/>
      <c r="DH17" s="260"/>
      <c r="DI17" s="260"/>
    </row>
    <row r="18" spans="6:113">
      <c r="F18" s="421">
        <v>40694</v>
      </c>
      <c r="G18" s="92">
        <f>IF(Portfolios!$G$16="yes",SUM(T18:X18),AX18)</f>
        <v>-4.3824917078018187E-2</v>
      </c>
      <c r="H18" s="138" t="e">
        <f>IF(IF(Portfolios!$J$10="no",'AC3'!Y18,'AC3'!AE18)=0,NA(),IF(Portfolios!$J$10="no",Y18,AE18))</f>
        <v>#N/A</v>
      </c>
      <c r="I18" s="138" t="e">
        <f>IF(Portfolios!$J$11="no",NA(),IF(IF(Portfolios!$J$10="no",'AC3'!Z18,'AC3'!AF18)=0,NA(),IF(Portfolios!$J$10="no",Z18,AF18)))</f>
        <v>#N/A</v>
      </c>
      <c r="J18" s="138" t="e">
        <f>IF(Portfolios!$J$11="no",NA(),IF(IF(Portfolios!$J$10="no",'AC3'!AA18,'AC3'!AG18)=0,NA(),IF(Portfolios!$J$10="no",AA18,AG18)))</f>
        <v>#N/A</v>
      </c>
      <c r="K18" s="138" t="e">
        <f>IF(Portfolios!$J$11="no",NA(),IF(IF(Portfolios!$J$10="no",'AC3'!AB18,'AC3'!AH18)=0,NA(),IF(Portfolios!$J$10="no",AB18,AH18)))</f>
        <v>#N/A</v>
      </c>
      <c r="L18" s="138" t="e">
        <f>IF(Portfolios!$J$11="no",NA(),IF(IF(Portfolios!$J$10="no",'AC3'!AC18,'AC3'!AI18)=0,NA(),IF(Portfolios!$J$10="no",AC18,AI18)))</f>
        <v>#N/A</v>
      </c>
      <c r="M18" s="138" t="e">
        <f>IF(Portfolios!$J$11="no",NA(),IF(IF(Portfolios!$J$10="no",'AC3'!AD18,'AC3'!AJ18)=0,NA(),IF(Portfolios!$J$10="no",AD18,AJ18)))</f>
        <v>#N/A</v>
      </c>
      <c r="N18" s="92">
        <f>G18-'Risk Factors'!J18</f>
        <v>-4.3824917078018187E-2</v>
      </c>
      <c r="O18" s="260">
        <f>HLOOKUP(O$1,'Asset Returns'!$F$1:$N$109,ROW(),0)-'Risk Factors'!$J18</f>
        <v>8.7378118187189102E-3</v>
      </c>
      <c r="P18" s="260">
        <f>HLOOKUP(P$1,'Asset Returns'!$F$1:$N$109,ROW(),0)-'Risk Factors'!$J18</f>
        <v>-0.13076105713844299</v>
      </c>
      <c r="Q18" s="260">
        <f>HLOOKUP(Q$1,'Asset Returns'!$F$1:$N$109,ROW(),0)-'Risk Factors'!$J18</f>
        <v>-0.15322484076023102</v>
      </c>
      <c r="R18" s="260">
        <f>HLOOKUP(R$1,'Asset Returns'!$F$1:$N$109,ROW(),0)-'Risk Factors'!$J18</f>
        <v>5.1332909613847733E-2</v>
      </c>
      <c r="S18" s="260">
        <f>HLOOKUP(S$1,'Asset Returns'!$F$1:$N$109,ROW(),0)-'Risk Factors'!$J18</f>
        <v>-5.2750660106539726E-3</v>
      </c>
      <c r="T18" s="260">
        <f>HLOOKUP(T$1,'Asset Returns'!$F$1:$N$109,ROW(),0)*Portfolios!$G$10</f>
        <v>8.7378118187189104E-4</v>
      </c>
      <c r="U18" s="260">
        <f>HLOOKUP(U$1,'Asset Returns'!$F$1:$N$109,ROW(),0)*Portfolios!$G$11</f>
        <v>-1.3076105713844301E-2</v>
      </c>
      <c r="V18" s="260">
        <f>HLOOKUP(V$1,'Asset Returns'!$F$1:$N$109,ROW(),0)*Portfolios!$G$12</f>
        <v>-4.5967452228069305E-2</v>
      </c>
      <c r="W18" s="260">
        <f>HLOOKUP(W$1,'Asset Returns'!$F$1:$N$109,ROW(),0)*Portfolios!$G$13</f>
        <v>1.5399872884154319E-2</v>
      </c>
      <c r="X18" s="260">
        <f>HLOOKUP(X$1,'Asset Returns'!$F$1:$N$109,ROW(),0)*Portfolios!$G$14</f>
        <v>-1.0550132021307944E-3</v>
      </c>
      <c r="Y18" s="138">
        <f>Portfolios!$R$34</f>
        <v>-0.68211369708646341</v>
      </c>
      <c r="Z18" s="138">
        <f>Portfolios!$P$11</f>
        <v>0.9378377404978776</v>
      </c>
      <c r="AA18" s="138">
        <f>Portfolios!$P$12</f>
        <v>0.64097224418739052</v>
      </c>
      <c r="AB18" s="138">
        <f>Portfolios!$P$13</f>
        <v>-2.1312105104673718</v>
      </c>
      <c r="AC18" s="138">
        <f>Portfolios!$P$14</f>
        <v>-0.78557102570241866</v>
      </c>
      <c r="AD18" s="138">
        <f>Portfolios!$P$15</f>
        <v>0.17519882647973573</v>
      </c>
      <c r="AL18" s="343">
        <f>AL17*(1+O18+'Risk Factors'!$J18)</f>
        <v>8.2171714839843063E-2</v>
      </c>
      <c r="AM18" s="343">
        <f>AM17*(1+P18+'Risk Factors'!$J18)</f>
        <v>0.14501012269795907</v>
      </c>
      <c r="AN18" s="343">
        <f>AN17*(1+Q18+'Risk Factors'!$J18)</f>
        <v>0.14717279745674824</v>
      </c>
      <c r="AO18" s="343">
        <f>AO17*(1+R18+'Risk Factors'!$J18)</f>
        <v>0.30764848878572176</v>
      </c>
      <c r="AP18" s="343">
        <f>AP17*(1+S18+'Risk Factors'!$J18)</f>
        <v>0.26495917635734884</v>
      </c>
      <c r="AR18" s="343">
        <f t="shared" si="3"/>
        <v>8.6774008667400093E-2</v>
      </c>
      <c r="AS18" s="343">
        <f t="shared" si="4"/>
        <v>0.15313188569057595</v>
      </c>
      <c r="AT18" s="343">
        <f t="shared" si="5"/>
        <v>0.15541568807476261</v>
      </c>
      <c r="AU18" s="343">
        <f t="shared" si="6"/>
        <v>0.32487934180802291</v>
      </c>
      <c r="AV18" s="343">
        <f t="shared" si="7"/>
        <v>0.27979907575923835</v>
      </c>
      <c r="AW18" s="418">
        <f t="shared" si="8"/>
        <v>0.94696230013762106</v>
      </c>
      <c r="AX18" s="343">
        <f t="shared" si="11"/>
        <v>-3.4775056226563406E-2</v>
      </c>
      <c r="AZ18" s="421">
        <v>40694</v>
      </c>
      <c r="BA18" s="92">
        <f>HLOOKUP(BA$1,'AC4'!$F$1:$AC$109,ROW(),0)*'Management and Hedging'!$G$10</f>
        <v>-1.6029140000000004E-2</v>
      </c>
      <c r="BB18" s="92">
        <f>HLOOKUP(BB$1,'AC4'!$F$1:$AC$109,ROW(),0)*'Management and Hedging'!$G$11</f>
        <v>-0.12257987260818481</v>
      </c>
      <c r="BC18" s="92">
        <f>IF('Management and Hedging'!$G$13="yes",BA18+BB18,CQ18)</f>
        <v>-0.13860901260818481</v>
      </c>
      <c r="BD18" s="138" t="e">
        <f>IF(IF('Management and Hedging'!$J$10="no",BL18,BO18)=0,NA(),IF('Management and Hedging'!$J$10="no",BL18,BO18))</f>
        <v>#N/A</v>
      </c>
      <c r="BE18" s="138" t="e">
        <f>IF(IF('Management and Hedging'!$J$10="no",BM18,BP18)=0,NA(),IF('Management and Hedging'!$J$10="no",BM18,BP18))</f>
        <v>#N/A</v>
      </c>
      <c r="BF18" s="138" t="e">
        <f>IF(IF('Management and Hedging'!$J$10="no",BN18,BQ18)=0,NA(),IF('Management and Hedging'!$J$10="no",BN18,BQ18))</f>
        <v>#N/A</v>
      </c>
      <c r="BG18" s="92">
        <f>IF('Management and Hedging'!$G$13="yes",BH18+BI18,CQ18)</f>
        <v>-0.13860901260818481</v>
      </c>
      <c r="BH18" s="92">
        <f>HLOOKUP(BH$1,'Asset Returns'!$F$1:$ZY$109,ROW(),0)*'Management and Hedging'!$G$10</f>
        <v>-1.6029140000000004E-2</v>
      </c>
      <c r="BI18" s="92">
        <f>HLOOKUP(BI$1,'Asset Returns'!$F$1:$ZY$109,ROW(),0)*'Management and Hedging'!$G$11</f>
        <v>-0.12257987260818481</v>
      </c>
      <c r="BJ18" s="92">
        <f>HLOOKUP(BJ$1,'AC4'!$F$1:$AC$109,ROW(),0)</f>
        <v>-8.0145700000000014E-2</v>
      </c>
      <c r="BK18" s="92">
        <f>HLOOKUP(BK$1,'AC4'!$F$1:$AC$109,ROW(),0)</f>
        <v>-0.15322484076023102</v>
      </c>
      <c r="BL18" s="138">
        <f ca="1">'Management and Hedging'!$R$34</f>
        <v>2.5919346055080732</v>
      </c>
      <c r="BM18" s="138">
        <f ca="1">'Management and Hedging'!$R$36</f>
        <v>-2.1312105104673718</v>
      </c>
      <c r="BN18" s="138">
        <f>'Management and Hedging'!$R$38</f>
        <v>-1.1865814872722835</v>
      </c>
      <c r="BR18" s="208"/>
      <c r="BS18" s="208"/>
      <c r="BT18" s="208"/>
      <c r="BU18" s="208"/>
      <c r="BV18" s="208"/>
      <c r="BW18" s="208"/>
      <c r="BX18" s="208"/>
      <c r="BY18" s="208"/>
      <c r="BZ18" s="208"/>
      <c r="CA18" s="208"/>
      <c r="CB18" s="208"/>
      <c r="CC18" s="208"/>
      <c r="CD18" s="208"/>
      <c r="CE18" s="208"/>
      <c r="CF18" s="208"/>
      <c r="CG18" s="208"/>
      <c r="CH18" s="208"/>
      <c r="CI18" s="208"/>
      <c r="CJ18" s="208"/>
      <c r="CK18" s="343">
        <f>CK17*(1+BA18+'Risk Factors'!$J18)</f>
        <v>0.21314396227267246</v>
      </c>
      <c r="CL18" s="343">
        <f>CL17*(1+BB18+'Risk Factors'!$J18)</f>
        <v>0.46741709927344338</v>
      </c>
      <c r="CN18" s="343">
        <f t="shared" si="9"/>
        <v>0.31318859440539637</v>
      </c>
      <c r="CO18" s="343">
        <f t="shared" si="12"/>
        <v>0.68681140559460363</v>
      </c>
      <c r="CP18" s="418">
        <f t="shared" si="10"/>
        <v>0.68056106154611584</v>
      </c>
      <c r="CQ18" s="343">
        <f t="shared" si="13"/>
        <v>-9.1778364275689084E-2</v>
      </c>
      <c r="CS18" s="92"/>
      <c r="CT18" s="260"/>
      <c r="CU18" s="260"/>
      <c r="CV18" s="260"/>
      <c r="CW18" s="260"/>
      <c r="CX18" s="260"/>
      <c r="CY18" s="260"/>
      <c r="CZ18" s="260"/>
      <c r="DB18" s="335">
        <f>'Best-in-class'!O47</f>
        <v>0.5</v>
      </c>
      <c r="DC18" s="183"/>
      <c r="DD18" s="183"/>
      <c r="DE18" s="183"/>
      <c r="DF18" s="183"/>
      <c r="DG18" s="183"/>
      <c r="DH18" s="260"/>
      <c r="DI18" s="260"/>
    </row>
    <row r="19" spans="6:113">
      <c r="F19" s="421">
        <v>40724</v>
      </c>
      <c r="G19" s="92">
        <f>IF(Portfolios!$G$16="yes",SUM(T19:X19),AX19)</f>
        <v>-8.5651788115501407E-2</v>
      </c>
      <c r="H19" s="138" t="e">
        <f>IF(IF(Portfolios!$J$10="no",'AC3'!Y19,'AC3'!AE19)=0,NA(),IF(Portfolios!$J$10="no",Y19,AE19))</f>
        <v>#N/A</v>
      </c>
      <c r="I19" s="138" t="e">
        <f>IF(Portfolios!$J$11="no",NA(),IF(IF(Portfolios!$J$10="no",'AC3'!Z19,'AC3'!AF19)=0,NA(),IF(Portfolios!$J$10="no",Z19,AF19)))</f>
        <v>#N/A</v>
      </c>
      <c r="J19" s="138" t="e">
        <f>IF(Portfolios!$J$11="no",NA(),IF(IF(Portfolios!$J$10="no",'AC3'!AA19,'AC3'!AG19)=0,NA(),IF(Portfolios!$J$10="no",AA19,AG19)))</f>
        <v>#N/A</v>
      </c>
      <c r="K19" s="138" t="e">
        <f>IF(Portfolios!$J$11="no",NA(),IF(IF(Portfolios!$J$10="no",'AC3'!AB19,'AC3'!AH19)=0,NA(),IF(Portfolios!$J$10="no",AB19,AH19)))</f>
        <v>#N/A</v>
      </c>
      <c r="L19" s="138" t="e">
        <f>IF(Portfolios!$J$11="no",NA(),IF(IF(Portfolios!$J$10="no",'AC3'!AC19,'AC3'!AI19)=0,NA(),IF(Portfolios!$J$10="no",AC19,AI19)))</f>
        <v>#N/A</v>
      </c>
      <c r="M19" s="138" t="e">
        <f>IF(Portfolios!$J$11="no",NA(),IF(IF(Portfolios!$J$10="no",'AC3'!AD19,'AC3'!AJ19)=0,NA(),IF(Portfolios!$J$10="no",AD19,AJ19)))</f>
        <v>#N/A</v>
      </c>
      <c r="N19" s="92">
        <f>G19-'Risk Factors'!J19</f>
        <v>-8.5651788115501407E-2</v>
      </c>
      <c r="O19" s="260">
        <f>HLOOKUP(O$1,'Asset Returns'!$F$1:$N$109,ROW(),0)-'Risk Factors'!$J19</f>
        <v>-4.4812750071287155E-2</v>
      </c>
      <c r="P19" s="260">
        <f>HLOOKUP(P$1,'Asset Returns'!$F$1:$N$109,ROW(),0)-'Risk Factors'!$J19</f>
        <v>-8.5349157452583313E-2</v>
      </c>
      <c r="Q19" s="260">
        <f>HLOOKUP(Q$1,'Asset Returns'!$F$1:$N$109,ROW(),0)-'Risk Factors'!$J19</f>
        <v>-0.22881348431110382</v>
      </c>
      <c r="R19" s="260">
        <f>HLOOKUP(R$1,'Asset Returns'!$F$1:$N$109,ROW(),0)-'Risk Factors'!$J19</f>
        <v>-2.3644760251045227E-2</v>
      </c>
      <c r="S19" s="260">
        <f>HLOOKUP(S$1,'Asset Returns'!$F$1:$N$109,ROW(),0)-'Risk Factors'!$J19</f>
        <v>1.5509380027651787E-2</v>
      </c>
      <c r="T19" s="260">
        <f>HLOOKUP(T$1,'Asset Returns'!$F$1:$N$109,ROW(),0)*Portfolios!$G$10</f>
        <v>-4.4812750071287159E-3</v>
      </c>
      <c r="U19" s="260">
        <f>HLOOKUP(U$1,'Asset Returns'!$F$1:$N$109,ROW(),0)*Portfolios!$G$11</f>
        <v>-8.5349157452583313E-3</v>
      </c>
      <c r="V19" s="260">
        <f>HLOOKUP(V$1,'Asset Returns'!$F$1:$N$109,ROW(),0)*Portfolios!$G$12</f>
        <v>-6.8644045293331138E-2</v>
      </c>
      <c r="W19" s="260">
        <f>HLOOKUP(W$1,'Asset Returns'!$F$1:$N$109,ROW(),0)*Portfolios!$G$13</f>
        <v>-7.0934280753135676E-3</v>
      </c>
      <c r="X19" s="260">
        <f>HLOOKUP(X$1,'Asset Returns'!$F$1:$N$109,ROW(),0)*Portfolios!$G$14</f>
        <v>3.1018760055303565E-3</v>
      </c>
      <c r="Y19" s="138">
        <f>Portfolios!$R$34</f>
        <v>-0.68211369708646341</v>
      </c>
      <c r="Z19" s="138">
        <f>Portfolios!$P$11</f>
        <v>0.9378377404978776</v>
      </c>
      <c r="AA19" s="138">
        <f>Portfolios!$P$12</f>
        <v>0.64097224418739052</v>
      </c>
      <c r="AB19" s="138">
        <f>Portfolios!$P$13</f>
        <v>-2.1312105104673718</v>
      </c>
      <c r="AC19" s="138">
        <f>Portfolios!$P$14</f>
        <v>-0.78557102570241866</v>
      </c>
      <c r="AD19" s="138">
        <f>Portfolios!$P$15</f>
        <v>0.17519882647973573</v>
      </c>
      <c r="AL19" s="343">
        <f>AL18*(1+O19+'Risk Factors'!$J19)</f>
        <v>7.8489374319796093E-2</v>
      </c>
      <c r="AM19" s="343">
        <f>AM18*(1+P19+'Risk Factors'!$J19)</f>
        <v>0.13263363090359254</v>
      </c>
      <c r="AN19" s="343">
        <f>AN18*(1+Q19+'Risk Factors'!$J19)</f>
        <v>0.11349767687485732</v>
      </c>
      <c r="AO19" s="343">
        <f>AO18*(1+R19+'Risk Factors'!$J19)</f>
        <v>0.30037421402678699</v>
      </c>
      <c r="AP19" s="343">
        <f>AP18*(1+S19+'Risk Factors'!$J19)</f>
        <v>0.2690685289152886</v>
      </c>
      <c r="AR19" s="343">
        <f t="shared" si="3"/>
        <v>8.7789492469459079E-2</v>
      </c>
      <c r="AS19" s="343">
        <f t="shared" si="4"/>
        <v>0.14834924143956665</v>
      </c>
      <c r="AT19" s="343">
        <f t="shared" si="5"/>
        <v>0.12694588962716899</v>
      </c>
      <c r="AU19" s="343">
        <f t="shared" si="6"/>
        <v>0.33596521858976658</v>
      </c>
      <c r="AV19" s="343">
        <f t="shared" si="7"/>
        <v>0.30095015787403878</v>
      </c>
      <c r="AW19" s="418">
        <f t="shared" si="8"/>
        <v>0.89406342504032144</v>
      </c>
      <c r="AX19" s="343">
        <f t="shared" si="11"/>
        <v>-5.5861648441138501E-2</v>
      </c>
      <c r="AZ19" s="421">
        <v>40724</v>
      </c>
      <c r="BA19" s="92">
        <f>HLOOKUP(BA$1,'AC4'!$F$1:$AC$109,ROW(),0)*'Management and Hedging'!$G$10</f>
        <v>-1.9108920000000001E-2</v>
      </c>
      <c r="BB19" s="92">
        <f>HLOOKUP(BB$1,'AC4'!$F$1:$AC$109,ROW(),0)*'Management and Hedging'!$G$11</f>
        <v>-0.18305078744888306</v>
      </c>
      <c r="BC19" s="92">
        <f>IF('Management and Hedging'!$G$13="yes",BA19+BB19,CQ19)</f>
        <v>-0.20215970744888306</v>
      </c>
      <c r="BD19" s="138" t="e">
        <f>IF(IF('Management and Hedging'!$J$10="no",BL19,BO19)=0,NA(),IF('Management and Hedging'!$J$10="no",BL19,BO19))</f>
        <v>#N/A</v>
      </c>
      <c r="BE19" s="138" t="e">
        <f>IF(IF('Management and Hedging'!$J$10="no",BM19,BP19)=0,NA(),IF('Management and Hedging'!$J$10="no",BM19,BP19))</f>
        <v>#N/A</v>
      </c>
      <c r="BF19" s="138" t="e">
        <f>IF(IF('Management and Hedging'!$J$10="no",BN19,BQ19)=0,NA(),IF('Management and Hedging'!$J$10="no",BN19,BQ19))</f>
        <v>#N/A</v>
      </c>
      <c r="BG19" s="92">
        <f>IF('Management and Hedging'!$G$13="yes",BH19+BI19,CQ19)</f>
        <v>-0.20215970744888306</v>
      </c>
      <c r="BH19" s="92">
        <f>HLOOKUP(BH$1,'Asset Returns'!$F$1:$ZY$109,ROW(),0)*'Management and Hedging'!$G$10</f>
        <v>-1.9108920000000001E-2</v>
      </c>
      <c r="BI19" s="92">
        <f>HLOOKUP(BI$1,'Asset Returns'!$F$1:$ZY$109,ROW(),0)*'Management and Hedging'!$G$11</f>
        <v>-0.18305078744888306</v>
      </c>
      <c r="BJ19" s="92">
        <f>HLOOKUP(BJ$1,'AC4'!$F$1:$AC$109,ROW(),0)</f>
        <v>-9.5544600000000007E-2</v>
      </c>
      <c r="BK19" s="92">
        <f>HLOOKUP(BK$1,'AC4'!$F$1:$AC$109,ROW(),0)</f>
        <v>-0.22881348431110382</v>
      </c>
      <c r="BL19" s="138">
        <f ca="1">'Management and Hedging'!$R$34</f>
        <v>2.5919346055080732</v>
      </c>
      <c r="BM19" s="138">
        <f ca="1">'Management and Hedging'!$R$36</f>
        <v>-2.1312105104673718</v>
      </c>
      <c r="BN19" s="138">
        <f>'Management and Hedging'!$R$38</f>
        <v>-1.1865814872722835</v>
      </c>
      <c r="BR19" s="208"/>
      <c r="BS19" s="208"/>
      <c r="BT19" s="208"/>
      <c r="BU19" s="208"/>
      <c r="BV19" s="208"/>
      <c r="BW19" s="208"/>
      <c r="BX19" s="208"/>
      <c r="BY19" s="208"/>
      <c r="BZ19" s="208"/>
      <c r="CA19" s="208"/>
      <c r="CB19" s="208"/>
      <c r="CC19" s="208"/>
      <c r="CD19" s="208"/>
      <c r="CE19" s="208"/>
      <c r="CF19" s="208"/>
      <c r="CG19" s="208"/>
      <c r="CH19" s="208"/>
      <c r="CI19" s="208"/>
      <c r="CJ19" s="208"/>
      <c r="CK19" s="343">
        <f>CK18*(1+BA19+'Risk Factors'!$J19)</f>
        <v>0.20907101134912096</v>
      </c>
      <c r="CL19" s="343">
        <f>CL18*(1+BB19+'Risk Factors'!$J19)</f>
        <v>0.38185603118436684</v>
      </c>
      <c r="CN19" s="343">
        <f t="shared" si="9"/>
        <v>0.35380173236406404</v>
      </c>
      <c r="CO19" s="343">
        <f t="shared" si="12"/>
        <v>0.64619826763593591</v>
      </c>
      <c r="CP19" s="418">
        <f t="shared" si="10"/>
        <v>0.59092704253348782</v>
      </c>
      <c r="CQ19" s="343">
        <f t="shared" si="13"/>
        <v>-0.13170606441837152</v>
      </c>
      <c r="CS19" s="92"/>
      <c r="CT19" s="260"/>
      <c r="CU19" s="260"/>
      <c r="CV19" s="260"/>
      <c r="CW19" s="260"/>
      <c r="CX19" s="260"/>
      <c r="CY19" s="260"/>
      <c r="CZ19" s="260"/>
      <c r="DB19" s="325" t="s">
        <v>283</v>
      </c>
      <c r="DC19" s="183" t="s">
        <v>30</v>
      </c>
      <c r="DD19" s="183" t="s">
        <v>16</v>
      </c>
      <c r="DE19" s="214" t="s">
        <v>281</v>
      </c>
      <c r="DF19" s="214" t="s">
        <v>214</v>
      </c>
      <c r="DG19" s="183"/>
      <c r="DH19" s="260"/>
      <c r="DI19" s="260"/>
    </row>
    <row r="20" spans="6:113">
      <c r="F20" s="421">
        <v>40755</v>
      </c>
      <c r="G20" s="92">
        <f>IF(Portfolios!$G$16="yes",SUM(T20:X20),AX20)</f>
        <v>-1.2478285963879922E-3</v>
      </c>
      <c r="H20" s="138" t="e">
        <f>IF(IF(Portfolios!$J$10="no",'AC3'!Y20,'AC3'!AE20)=0,NA(),IF(Portfolios!$J$10="no",Y20,AE20))</f>
        <v>#N/A</v>
      </c>
      <c r="I20" s="138" t="e">
        <f>IF(Portfolios!$J$11="no",NA(),IF(IF(Portfolios!$J$10="no",'AC3'!Z20,'AC3'!AF20)=0,NA(),IF(Portfolios!$J$10="no",Z20,AF20)))</f>
        <v>#N/A</v>
      </c>
      <c r="J20" s="138" t="e">
        <f>IF(Portfolios!$J$11="no",NA(),IF(IF(Portfolios!$J$10="no",'AC3'!AA20,'AC3'!AG20)=0,NA(),IF(Portfolios!$J$10="no",AA20,AG20)))</f>
        <v>#N/A</v>
      </c>
      <c r="K20" s="138" t="e">
        <f>IF(Portfolios!$J$11="no",NA(),IF(IF(Portfolios!$J$10="no",'AC3'!AB20,'AC3'!AH20)=0,NA(),IF(Portfolios!$J$10="no",AB20,AH20)))</f>
        <v>#N/A</v>
      </c>
      <c r="L20" s="138" t="e">
        <f>IF(Portfolios!$J$11="no",NA(),IF(IF(Portfolios!$J$10="no",'AC3'!AC20,'AC3'!AI20)=0,NA(),IF(Portfolios!$J$10="no",AC20,AI20)))</f>
        <v>#N/A</v>
      </c>
      <c r="M20" s="138" t="e">
        <f>IF(Portfolios!$J$11="no",NA(),IF(IF(Portfolios!$J$10="no",'AC3'!AD20,'AC3'!AJ20)=0,NA(),IF(Portfolios!$J$10="no",AD20,AJ20)))</f>
        <v>#N/A</v>
      </c>
      <c r="N20" s="92">
        <f>G20-'Risk Factors'!J20</f>
        <v>-1.2478285963879922E-3</v>
      </c>
      <c r="O20" s="260">
        <f>HLOOKUP(O$1,'Asset Returns'!$F$1:$N$109,ROW(),0)-'Risk Factors'!$J20</f>
        <v>2.7694474905729294E-2</v>
      </c>
      <c r="P20" s="260">
        <f>HLOOKUP(P$1,'Asset Returns'!$F$1:$N$109,ROW(),0)-'Risk Factors'!$J20</f>
        <v>-1.5700085088610649E-2</v>
      </c>
      <c r="Q20" s="260">
        <f>HLOOKUP(Q$1,'Asset Returns'!$F$1:$N$109,ROW(),0)-'Risk Factors'!$J20</f>
        <v>-4.8468265682458878E-2</v>
      </c>
      <c r="R20" s="260">
        <f>HLOOKUP(R$1,'Asset Returns'!$F$1:$N$109,ROW(),0)-'Risk Factors'!$J20</f>
        <v>2.8350591310299933E-4</v>
      </c>
      <c r="S20" s="260">
        <f>HLOOKUP(S$1,'Asset Returns'!$F$1:$N$109,ROW(),0)-'Risk Factors'!$J20</f>
        <v>6.0040801763534546E-2</v>
      </c>
      <c r="T20" s="260">
        <f>HLOOKUP(T$1,'Asset Returns'!$F$1:$N$109,ROW(),0)*Portfolios!$G$10</f>
        <v>2.7694474905729295E-3</v>
      </c>
      <c r="U20" s="260">
        <f>HLOOKUP(U$1,'Asset Returns'!$F$1:$N$109,ROW(),0)*Portfolios!$G$11</f>
        <v>-1.570008508861065E-3</v>
      </c>
      <c r="V20" s="260">
        <f>HLOOKUP(V$1,'Asset Returns'!$F$1:$N$109,ROW(),0)*Portfolios!$G$12</f>
        <v>-1.4540479704737663E-2</v>
      </c>
      <c r="W20" s="260">
        <f>HLOOKUP(W$1,'Asset Returns'!$F$1:$N$109,ROW(),0)*Portfolios!$G$13</f>
        <v>8.5051773930899791E-5</v>
      </c>
      <c r="X20" s="260">
        <f>HLOOKUP(X$1,'Asset Returns'!$F$1:$N$109,ROW(),0)*Portfolios!$G$14</f>
        <v>1.2008160352706906E-2</v>
      </c>
      <c r="Y20" s="138">
        <f>Portfolios!$R$34</f>
        <v>-0.68211369708646341</v>
      </c>
      <c r="Z20" s="138">
        <f>Portfolios!$P$11</f>
        <v>0.9378377404978776</v>
      </c>
      <c r="AA20" s="138">
        <f>Portfolios!$P$12</f>
        <v>0.64097224418739052</v>
      </c>
      <c r="AB20" s="138">
        <f>Portfolios!$P$13</f>
        <v>-2.1312105104673718</v>
      </c>
      <c r="AC20" s="138">
        <f>Portfolios!$P$14</f>
        <v>-0.78557102570241866</v>
      </c>
      <c r="AD20" s="138">
        <f>Portfolios!$P$15</f>
        <v>0.17519882647973573</v>
      </c>
      <c r="AL20" s="343">
        <f>AL19*(1+O20+'Risk Factors'!$J20)</f>
        <v>8.0663096327262082E-2</v>
      </c>
      <c r="AM20" s="343">
        <f>AM19*(1+P20+'Risk Factors'!$J20)</f>
        <v>0.13055127161279476</v>
      </c>
      <c r="AN20" s="343">
        <f>AN19*(1+Q20+'Risk Factors'!$J20)</f>
        <v>0.10799664131774486</v>
      </c>
      <c r="AO20" s="343">
        <f>AO19*(1+R20+'Risk Factors'!$J20)</f>
        <v>0.30045937189260724</v>
      </c>
      <c r="AP20" s="343">
        <f>AP19*(1+S20+'Risk Factors'!$J20)</f>
        <v>0.28522361912069732</v>
      </c>
      <c r="AR20" s="343">
        <f t="shared" si="3"/>
        <v>8.9140933969167002E-2</v>
      </c>
      <c r="AS20" s="343">
        <f t="shared" si="4"/>
        <v>0.14427244690945193</v>
      </c>
      <c r="AT20" s="343">
        <f t="shared" si="5"/>
        <v>0.11934728408563772</v>
      </c>
      <c r="AU20" s="343">
        <f t="shared" si="6"/>
        <v>0.33203819652090694</v>
      </c>
      <c r="AV20" s="343">
        <f t="shared" si="7"/>
        <v>0.31520113851483633</v>
      </c>
      <c r="AW20" s="418">
        <f t="shared" si="8"/>
        <v>0.90489400027110634</v>
      </c>
      <c r="AX20" s="343">
        <f t="shared" si="11"/>
        <v>1.2113877972691256E-2</v>
      </c>
      <c r="AZ20" s="421">
        <v>40755</v>
      </c>
      <c r="BA20" s="92">
        <f>HLOOKUP(BA$1,'AC4'!$F$1:$AC$109,ROW(),0)*'Management and Hedging'!$G$10</f>
        <v>8.42912E-3</v>
      </c>
      <c r="BB20" s="92">
        <f>HLOOKUP(BB$1,'AC4'!$F$1:$AC$109,ROW(),0)*'Management and Hedging'!$G$11</f>
        <v>-3.8774612545967105E-2</v>
      </c>
      <c r="BC20" s="92">
        <f>IF('Management and Hedging'!$G$13="yes",BA20+BB20,CQ20)</f>
        <v>-3.0345492545967107E-2</v>
      </c>
      <c r="BD20" s="138" t="e">
        <f>IF(IF('Management and Hedging'!$J$10="no",BL20,BO20)=0,NA(),IF('Management and Hedging'!$J$10="no",BL20,BO20))</f>
        <v>#N/A</v>
      </c>
      <c r="BE20" s="138" t="e">
        <f>IF(IF('Management and Hedging'!$J$10="no",BM20,BP20)=0,NA(),IF('Management and Hedging'!$J$10="no",BM20,BP20))</f>
        <v>#N/A</v>
      </c>
      <c r="BF20" s="138" t="e">
        <f>IF(IF('Management and Hedging'!$J$10="no",BN20,BQ20)=0,NA(),IF('Management and Hedging'!$J$10="no",BN20,BQ20))</f>
        <v>#N/A</v>
      </c>
      <c r="BG20" s="92">
        <f>IF('Management and Hedging'!$G$13="yes",BH20+BI20,CQ20)</f>
        <v>-3.0345492545967107E-2</v>
      </c>
      <c r="BH20" s="92">
        <f>HLOOKUP(BH$1,'Asset Returns'!$F$1:$ZY$109,ROW(),0)*'Management and Hedging'!$G$10</f>
        <v>8.42912E-3</v>
      </c>
      <c r="BI20" s="92">
        <f>HLOOKUP(BI$1,'Asset Returns'!$F$1:$ZY$109,ROW(),0)*'Management and Hedging'!$G$11</f>
        <v>-3.8774612545967105E-2</v>
      </c>
      <c r="BJ20" s="92">
        <f>HLOOKUP(BJ$1,'AC4'!$F$1:$AC$109,ROW(),0)</f>
        <v>4.2145599999999998E-2</v>
      </c>
      <c r="BK20" s="92">
        <f>HLOOKUP(BK$1,'AC4'!$F$1:$AC$109,ROW(),0)</f>
        <v>-4.8468265682458878E-2</v>
      </c>
      <c r="BL20" s="138">
        <f ca="1">'Management and Hedging'!$R$34</f>
        <v>2.5919346055080732</v>
      </c>
      <c r="BM20" s="138">
        <f ca="1">'Management and Hedging'!$R$36</f>
        <v>-2.1312105104673718</v>
      </c>
      <c r="BN20" s="138">
        <f>'Management and Hedging'!$R$38</f>
        <v>-1.1865814872722835</v>
      </c>
      <c r="BR20" s="208"/>
      <c r="BS20" s="208"/>
      <c r="BT20" s="208"/>
      <c r="BU20" s="208"/>
      <c r="BV20" s="208"/>
      <c r="BW20" s="208"/>
      <c r="BX20" s="208"/>
      <c r="BY20" s="208"/>
      <c r="BZ20" s="208"/>
      <c r="CA20" s="208"/>
      <c r="CB20" s="208"/>
      <c r="CC20" s="208"/>
      <c r="CD20" s="208"/>
      <c r="CE20" s="208"/>
      <c r="CF20" s="208"/>
      <c r="CG20" s="208"/>
      <c r="CH20" s="208"/>
      <c r="CI20" s="208"/>
      <c r="CJ20" s="208"/>
      <c r="CK20" s="343">
        <f>CK19*(1+BA20+'Risk Factors'!$J20)</f>
        <v>0.21083329599230405</v>
      </c>
      <c r="CL20" s="343">
        <f>CL19*(1+BB20+'Risk Factors'!$J20)</f>
        <v>0.36704971152685228</v>
      </c>
      <c r="CN20" s="343">
        <f t="shared" si="9"/>
        <v>0.36483733428572063</v>
      </c>
      <c r="CO20" s="343">
        <f t="shared" si="12"/>
        <v>0.63516266571427937</v>
      </c>
      <c r="CP20" s="418">
        <f t="shared" si="10"/>
        <v>0.57788300751915633</v>
      </c>
      <c r="CQ20" s="343">
        <f t="shared" si="13"/>
        <v>-2.2073850197154021E-2</v>
      </c>
      <c r="CS20" s="92"/>
      <c r="CT20" s="260"/>
      <c r="CU20" s="260"/>
      <c r="CV20" s="260"/>
      <c r="CW20" s="260"/>
      <c r="CX20" s="260"/>
      <c r="CY20" s="260"/>
      <c r="CZ20" s="260"/>
      <c r="DB20" s="332">
        <v>0.1</v>
      </c>
      <c r="DC20" s="183">
        <v>1.2194886473065454</v>
      </c>
      <c r="DD20" s="183">
        <v>0.43077053775270074</v>
      </c>
      <c r="DE20" s="183">
        <v>0.2415661799400802</v>
      </c>
      <c r="DF20" s="183">
        <v>0.55050773060026692</v>
      </c>
      <c r="DG20" s="183"/>
      <c r="DH20" s="260"/>
      <c r="DI20" s="260"/>
    </row>
    <row r="21" spans="6:113">
      <c r="F21" s="421">
        <v>40786</v>
      </c>
      <c r="G21" s="92">
        <f>IF(Portfolios!$G$16="yes",SUM(T21:X21),AX21)</f>
        <v>-9.9213770776987065E-2</v>
      </c>
      <c r="H21" s="138" t="e">
        <f>IF(IF(Portfolios!$J$10="no",'AC3'!Y21,'AC3'!AE21)=0,NA(),IF(Portfolios!$J$10="no",Y21,AE21))</f>
        <v>#N/A</v>
      </c>
      <c r="I21" s="138" t="e">
        <f>IF(Portfolios!$J$11="no",NA(),IF(IF(Portfolios!$J$10="no",'AC3'!Z21,'AC3'!AF21)=0,NA(),IF(Portfolios!$J$10="no",Z21,AF21)))</f>
        <v>#N/A</v>
      </c>
      <c r="J21" s="138" t="e">
        <f>IF(Portfolios!$J$11="no",NA(),IF(IF(Portfolios!$J$10="no",'AC3'!AA21,'AC3'!AG21)=0,NA(),IF(Portfolios!$J$10="no",AA21,AG21)))</f>
        <v>#N/A</v>
      </c>
      <c r="K21" s="138" t="e">
        <f>IF(Portfolios!$J$11="no",NA(),IF(IF(Portfolios!$J$10="no",'AC3'!AB21,'AC3'!AH21)=0,NA(),IF(Portfolios!$J$10="no",AB21,AH21)))</f>
        <v>#N/A</v>
      </c>
      <c r="L21" s="138" t="e">
        <f>IF(Portfolios!$J$11="no",NA(),IF(IF(Portfolios!$J$10="no",'AC3'!AC21,'AC3'!AI21)=0,NA(),IF(Portfolios!$J$10="no",AC21,AI21)))</f>
        <v>#N/A</v>
      </c>
      <c r="M21" s="138" t="e">
        <f>IF(Portfolios!$J$11="no",NA(),IF(IF(Portfolios!$J$10="no",'AC3'!AD21,'AC3'!AJ21)=0,NA(),IF(Portfolios!$J$10="no",AD21,AJ21)))</f>
        <v>#N/A</v>
      </c>
      <c r="N21" s="92">
        <f>G21-'Risk Factors'!J21</f>
        <v>-9.9313770776987068E-2</v>
      </c>
      <c r="O21" s="260">
        <f>HLOOKUP(O$1,'Asset Returns'!$F$1:$N$109,ROW(),0)-'Risk Factors'!$J21</f>
        <v>-0.12562544474601745</v>
      </c>
      <c r="P21" s="260">
        <f>HLOOKUP(P$1,'Asset Returns'!$F$1:$N$109,ROW(),0)-'Risk Factors'!$J21</f>
        <v>-0.24888916144371032</v>
      </c>
      <c r="Q21" s="260">
        <f>HLOOKUP(Q$1,'Asset Returns'!$F$1:$N$109,ROW(),0)-'Risk Factors'!$J21</f>
        <v>-4.6996159648895267E-2</v>
      </c>
      <c r="R21" s="260">
        <f>HLOOKUP(R$1,'Asset Returns'!$F$1:$N$109,ROW(),0)-'Risk Factors'!$J21</f>
        <v>-0.12548155913352965</v>
      </c>
      <c r="S21" s="260">
        <f>HLOOKUP(S$1,'Asset Returns'!$F$1:$N$109,ROW(),0)-'Risk Factors'!$J21</f>
        <v>-5.05949726164341E-2</v>
      </c>
      <c r="T21" s="260">
        <f>HLOOKUP(T$1,'Asset Returns'!$F$1:$N$109,ROW(),0)*Portfolios!$G$10</f>
        <v>-1.2552544474601746E-2</v>
      </c>
      <c r="U21" s="260">
        <f>HLOOKUP(U$1,'Asset Returns'!$F$1:$N$109,ROW(),0)*Portfolios!$G$11</f>
        <v>-2.4878916144371033E-2</v>
      </c>
      <c r="V21" s="260">
        <f>HLOOKUP(V$1,'Asset Returns'!$F$1:$N$109,ROW(),0)*Portfolios!$G$12</f>
        <v>-1.4068847894668578E-2</v>
      </c>
      <c r="W21" s="260">
        <f>HLOOKUP(W$1,'Asset Returns'!$F$1:$N$109,ROW(),0)*Portfolios!$G$13</f>
        <v>-3.7614467740058895E-2</v>
      </c>
      <c r="X21" s="260">
        <f>HLOOKUP(X$1,'Asset Returns'!$F$1:$N$109,ROW(),0)*Portfolios!$G$14</f>
        <v>-1.0098994523286817E-2</v>
      </c>
      <c r="Y21" s="138">
        <f>Portfolios!$R$34</f>
        <v>-0.68211369708646341</v>
      </c>
      <c r="Z21" s="138">
        <f>Portfolios!$P$11</f>
        <v>0.9378377404978776</v>
      </c>
      <c r="AA21" s="138">
        <f>Portfolios!$P$12</f>
        <v>0.64097224418739052</v>
      </c>
      <c r="AB21" s="138">
        <f>Portfolios!$P$13</f>
        <v>-2.1312105104673718</v>
      </c>
      <c r="AC21" s="138">
        <f>Portfolios!$P$14</f>
        <v>-0.78557102570241866</v>
      </c>
      <c r="AD21" s="138">
        <f>Portfolios!$P$15</f>
        <v>0.17519882647973573</v>
      </c>
      <c r="AL21" s="343">
        <f>AL20*(1+O21+'Risk Factors'!$J21)</f>
        <v>7.0537825286191666E-2</v>
      </c>
      <c r="AM21" s="343">
        <f>AM20*(1+P21+'Risk Factors'!$J21)</f>
        <v>9.8071530222837489E-2</v>
      </c>
      <c r="AN21" s="343">
        <f>AN20*(1+Q21+'Risk Factors'!$J21)</f>
        <v>0.10293201358496343</v>
      </c>
      <c r="AO21" s="343">
        <f>AO20*(1+R21+'Risk Factors'!$J21)</f>
        <v>0.26278730738843115</v>
      </c>
      <c r="AP21" s="343">
        <f>AP20*(1+S21+'Risk Factors'!$J21)</f>
        <v>0.27082126028363751</v>
      </c>
      <c r="AR21" s="343">
        <f t="shared" si="3"/>
        <v>8.7608310036651774E-2</v>
      </c>
      <c r="AS21" s="343">
        <f t="shared" si="4"/>
        <v>0.12180530078254538</v>
      </c>
      <c r="AT21" s="343">
        <f t="shared" si="5"/>
        <v>0.12784204392836043</v>
      </c>
      <c r="AU21" s="343">
        <f t="shared" si="6"/>
        <v>0.32638306902678771</v>
      </c>
      <c r="AV21" s="343">
        <f t="shared" si="7"/>
        <v>0.33636127622565465</v>
      </c>
      <c r="AW21" s="418">
        <f t="shared" si="8"/>
        <v>0.80514993676606128</v>
      </c>
      <c r="AX21" s="343">
        <f t="shared" si="11"/>
        <v>-0.11022734538538403</v>
      </c>
      <c r="AZ21" s="421">
        <v>40786</v>
      </c>
      <c r="BA21" s="92">
        <f>HLOOKUP(BA$1,'AC4'!$F$1:$AC$109,ROW(),0)*'Management and Hedging'!$G$10</f>
        <v>-2.22588E-3</v>
      </c>
      <c r="BB21" s="92">
        <f>HLOOKUP(BB$1,'AC4'!$F$1:$AC$109,ROW(),0)*'Management and Hedging'!$G$11</f>
        <v>-3.7596927719116213E-2</v>
      </c>
      <c r="BC21" s="92">
        <f>IF('Management and Hedging'!$G$13="yes",BA21+BB21,CQ21)</f>
        <v>-3.9822807719116213E-2</v>
      </c>
      <c r="BD21" s="138" t="e">
        <f>IF(IF('Management and Hedging'!$J$10="no",BL21,BO21)=0,NA(),IF('Management and Hedging'!$J$10="no",BL21,BO21))</f>
        <v>#N/A</v>
      </c>
      <c r="BE21" s="138" t="e">
        <f>IF(IF('Management and Hedging'!$J$10="no",BM21,BP21)=0,NA(),IF('Management and Hedging'!$J$10="no",BM21,BP21))</f>
        <v>#N/A</v>
      </c>
      <c r="BF21" s="138" t="e">
        <f>IF(IF('Management and Hedging'!$J$10="no",BN21,BQ21)=0,NA(),IF('Management and Hedging'!$J$10="no",BN21,BQ21))</f>
        <v>#N/A</v>
      </c>
      <c r="BG21" s="92">
        <f>IF('Management and Hedging'!$G$13="yes",BH21+BI21,CQ21)</f>
        <v>-3.9722807719116217E-2</v>
      </c>
      <c r="BH21" s="92">
        <f>HLOOKUP(BH$1,'Asset Returns'!$F$1:$ZY$109,ROW(),0)*'Management and Hedging'!$G$10</f>
        <v>-2.2058799999999999E-3</v>
      </c>
      <c r="BI21" s="92">
        <f>HLOOKUP(BI$1,'Asset Returns'!$F$1:$ZY$109,ROW(),0)*'Management and Hedging'!$G$11</f>
        <v>-3.7516927719116216E-2</v>
      </c>
      <c r="BJ21" s="92">
        <f>HLOOKUP(BJ$1,'AC4'!$F$1:$AC$109,ROW(),0)</f>
        <v>-1.1129399999999999E-2</v>
      </c>
      <c r="BK21" s="92">
        <f>HLOOKUP(BK$1,'AC4'!$F$1:$AC$109,ROW(),0)</f>
        <v>-4.6996159648895267E-2</v>
      </c>
      <c r="BL21" s="138">
        <f ca="1">'Management and Hedging'!$R$34</f>
        <v>2.5919346055080732</v>
      </c>
      <c r="BM21" s="138">
        <f ca="1">'Management and Hedging'!$R$36</f>
        <v>-2.1312105104673718</v>
      </c>
      <c r="BN21" s="138">
        <f>'Management and Hedging'!$R$38</f>
        <v>-1.1865814872722835</v>
      </c>
      <c r="BR21" s="208"/>
      <c r="BS21" s="208"/>
      <c r="BT21" s="208"/>
      <c r="BU21" s="208"/>
      <c r="BV21" s="208"/>
      <c r="BW21" s="208"/>
      <c r="BX21" s="208"/>
      <c r="BY21" s="208"/>
      <c r="BZ21" s="208"/>
      <c r="CA21" s="208"/>
      <c r="CB21" s="208"/>
      <c r="CC21" s="208"/>
      <c r="CD21" s="208"/>
      <c r="CE21" s="208"/>
      <c r="CF21" s="208"/>
      <c r="CG21" s="208"/>
      <c r="CH21" s="208"/>
      <c r="CI21" s="208"/>
      <c r="CJ21" s="208"/>
      <c r="CK21" s="343">
        <f>CK20*(1+BA21+'Risk Factors'!$J21)</f>
        <v>0.21038508970501993</v>
      </c>
      <c r="CL21" s="343">
        <f>CL20*(1+BB21+'Risk Factors'!$J21)</f>
        <v>0.35328647502440746</v>
      </c>
      <c r="CN21" s="343">
        <f t="shared" si="9"/>
        <v>0.37324055863277156</v>
      </c>
      <c r="CO21" s="343">
        <f t="shared" si="12"/>
        <v>0.6267594413672285</v>
      </c>
      <c r="CP21" s="418">
        <f t="shared" si="10"/>
        <v>0.56367156472942737</v>
      </c>
      <c r="CQ21" s="343">
        <f t="shared" si="13"/>
        <v>-2.4592248958380858E-2</v>
      </c>
      <c r="CS21" s="92"/>
      <c r="CT21" s="260"/>
      <c r="CU21" s="260"/>
      <c r="CV21" s="260"/>
      <c r="CW21" s="260"/>
      <c r="CX21" s="260"/>
      <c r="CY21" s="260"/>
      <c r="CZ21" s="260"/>
      <c r="DB21" s="332">
        <v>0.2</v>
      </c>
      <c r="DC21" s="183">
        <v>0.93431592450627521</v>
      </c>
      <c r="DD21" s="183">
        <v>0.40936613461224547</v>
      </c>
      <c r="DE21" s="183">
        <v>0.20585677417313875</v>
      </c>
      <c r="DF21" s="183">
        <v>0.49628437473664422</v>
      </c>
      <c r="DG21" s="183"/>
      <c r="DH21" s="260"/>
      <c r="DI21" s="260"/>
    </row>
    <row r="22" spans="6:113">
      <c r="F22" s="421">
        <v>40816</v>
      </c>
      <c r="G22" s="92">
        <f>IF(Portfolios!$G$16="yes",SUM(T22:X22),AX22)</f>
        <v>-7.7431917563080779E-2</v>
      </c>
      <c r="H22" s="138" t="e">
        <f>IF(IF(Portfolios!$J$10="no",'AC3'!Y22,'AC3'!AE22)=0,NA(),IF(Portfolios!$J$10="no",Y22,AE22))</f>
        <v>#N/A</v>
      </c>
      <c r="I22" s="138" t="e">
        <f>IF(Portfolios!$J$11="no",NA(),IF(IF(Portfolios!$J$10="no",'AC3'!Z22,'AC3'!AF22)=0,NA(),IF(Portfolios!$J$10="no",Z22,AF22)))</f>
        <v>#N/A</v>
      </c>
      <c r="J22" s="138" t="e">
        <f>IF(Portfolios!$J$11="no",NA(),IF(IF(Portfolios!$J$10="no",'AC3'!AA22,'AC3'!AG22)=0,NA(),IF(Portfolios!$J$10="no",AA22,AG22)))</f>
        <v>#N/A</v>
      </c>
      <c r="K22" s="138" t="e">
        <f>IF(Portfolios!$J$11="no",NA(),IF(IF(Portfolios!$J$10="no",'AC3'!AB22,'AC3'!AH22)=0,NA(),IF(Portfolios!$J$10="no",AB22,AH22)))</f>
        <v>#N/A</v>
      </c>
      <c r="L22" s="138" t="e">
        <f>IF(Portfolios!$J$11="no",NA(),IF(IF(Portfolios!$J$10="no",'AC3'!AC22,'AC3'!AI22)=0,NA(),IF(Portfolios!$J$10="no",AC22,AI22)))</f>
        <v>#N/A</v>
      </c>
      <c r="M22" s="138" t="e">
        <f>IF(Portfolios!$J$11="no",NA(),IF(IF(Portfolios!$J$10="no",'AC3'!AD22,'AC3'!AJ22)=0,NA(),IF(Portfolios!$J$10="no",AD22,AJ22)))</f>
        <v>#N/A</v>
      </c>
      <c r="N22" s="92">
        <f>G22-'Risk Factors'!J22</f>
        <v>-7.7431917563080779E-2</v>
      </c>
      <c r="O22" s="260">
        <f>HLOOKUP(O$1,'Asset Returns'!$F$1:$N$109,ROW(),0)-'Risk Factors'!$J22</f>
        <v>-7.6423346996307373E-2</v>
      </c>
      <c r="P22" s="260">
        <f>HLOOKUP(P$1,'Asset Returns'!$F$1:$N$109,ROW(),0)-'Risk Factors'!$J22</f>
        <v>-1.1654149740934372E-2</v>
      </c>
      <c r="Q22" s="260">
        <f>HLOOKUP(Q$1,'Asset Returns'!$F$1:$N$109,ROW(),0)-'Risk Factors'!$J22</f>
        <v>-0.22290812432765961</v>
      </c>
      <c r="R22" s="260">
        <f>HLOOKUP(R$1,'Asset Returns'!$F$1:$N$109,ROW(),0)-'Risk Factors'!$J22</f>
        <v>-1.7317973077297211E-2</v>
      </c>
      <c r="S22" s="260">
        <f>HLOOKUP(S$1,'Asset Returns'!$F$1:$N$109,ROW(),0)-'Risk Factors'!$J22</f>
        <v>1.7218306660652161E-2</v>
      </c>
      <c r="T22" s="260">
        <f>HLOOKUP(T$1,'Asset Returns'!$F$1:$N$109,ROW(),0)*Portfolios!$G$10</f>
        <v>-7.6423346996307377E-3</v>
      </c>
      <c r="U22" s="260">
        <f>HLOOKUP(U$1,'Asset Returns'!$F$1:$N$109,ROW(),0)*Portfolios!$G$11</f>
        <v>-1.1654149740934372E-3</v>
      </c>
      <c r="V22" s="260">
        <f>HLOOKUP(V$1,'Asset Returns'!$F$1:$N$109,ROW(),0)*Portfolios!$G$12</f>
        <v>-6.6872437298297879E-2</v>
      </c>
      <c r="W22" s="260">
        <f>HLOOKUP(W$1,'Asset Returns'!$F$1:$N$109,ROW(),0)*Portfolios!$G$13</f>
        <v>-5.1953919231891629E-3</v>
      </c>
      <c r="X22" s="260">
        <f>HLOOKUP(X$1,'Asset Returns'!$F$1:$N$109,ROW(),0)*Portfolios!$G$14</f>
        <v>3.4436613321304314E-3</v>
      </c>
      <c r="Y22" s="138">
        <f>Portfolios!$R$34</f>
        <v>-0.68211369708646341</v>
      </c>
      <c r="Z22" s="138">
        <f>Portfolios!$P$11</f>
        <v>0.9378377404978776</v>
      </c>
      <c r="AA22" s="138">
        <f>Portfolios!$P$12</f>
        <v>0.64097224418739052</v>
      </c>
      <c r="AB22" s="138">
        <f>Portfolios!$P$13</f>
        <v>-2.1312105104673718</v>
      </c>
      <c r="AC22" s="138">
        <f>Portfolios!$P$14</f>
        <v>-0.78557102570241866</v>
      </c>
      <c r="AD22" s="138">
        <f>Portfolios!$P$15</f>
        <v>0.17519882647973573</v>
      </c>
      <c r="AL22" s="343">
        <f>AL21*(1+O22+'Risk Factors'!$J22)</f>
        <v>6.5147088587980143E-2</v>
      </c>
      <c r="AM22" s="343">
        <f>AM21*(1+P22+'Risk Factors'!$J22)</f>
        <v>9.6928589924297967E-2</v>
      </c>
      <c r="AN22" s="343">
        <f>AN21*(1+Q22+'Risk Factors'!$J22)</f>
        <v>7.9987631503470047E-2</v>
      </c>
      <c r="AO22" s="343">
        <f>AO21*(1+R22+'Risk Factors'!$J22)</f>
        <v>0.25823636387402288</v>
      </c>
      <c r="AP22" s="343">
        <f>AP21*(1+S22+'Risk Factors'!$J22)</f>
        <v>0.27548434379342546</v>
      </c>
      <c r="AR22" s="343">
        <f t="shared" si="3"/>
        <v>8.3975806542825646E-2</v>
      </c>
      <c r="AS22" s="343">
        <f t="shared" si="4"/>
        <v>0.12494275173877102</v>
      </c>
      <c r="AT22" s="343">
        <f t="shared" si="5"/>
        <v>0.10310554185215794</v>
      </c>
      <c r="AU22" s="343">
        <f t="shared" si="6"/>
        <v>0.33287146678429991</v>
      </c>
      <c r="AV22" s="343">
        <f t="shared" si="7"/>
        <v>0.3551044330819455</v>
      </c>
      <c r="AW22" s="418">
        <f t="shared" si="8"/>
        <v>0.77578401768319649</v>
      </c>
      <c r="AX22" s="343">
        <f t="shared" si="11"/>
        <v>-3.6472609314005533E-2</v>
      </c>
      <c r="AZ22" s="421">
        <v>40816</v>
      </c>
      <c r="BA22" s="92">
        <f>HLOOKUP(BA$1,'AC4'!$F$1:$AC$109,ROW(),0)*'Management and Hedging'!$G$10</f>
        <v>-3.3138599999999997E-2</v>
      </c>
      <c r="BB22" s="92">
        <f>HLOOKUP(BB$1,'AC4'!$F$1:$AC$109,ROW(),0)*'Management and Hedging'!$G$11</f>
        <v>-0.1783264994621277</v>
      </c>
      <c r="BC22" s="92">
        <f>IF('Management and Hedging'!$G$13="yes",BA22+BB22,CQ22)</f>
        <v>-0.21146509946212769</v>
      </c>
      <c r="BD22" s="138" t="e">
        <f>IF(IF('Management and Hedging'!$J$10="no",BL22,BO22)=0,NA(),IF('Management and Hedging'!$J$10="no",BL22,BO22))</f>
        <v>#N/A</v>
      </c>
      <c r="BE22" s="138" t="e">
        <f>IF(IF('Management and Hedging'!$J$10="no",BM22,BP22)=0,NA(),IF('Management and Hedging'!$J$10="no",BM22,BP22))</f>
        <v>#N/A</v>
      </c>
      <c r="BF22" s="138" t="e">
        <f>IF(IF('Management and Hedging'!$J$10="no",BN22,BQ22)=0,NA(),IF('Management and Hedging'!$J$10="no",BN22,BQ22))</f>
        <v>#N/A</v>
      </c>
      <c r="BG22" s="92">
        <f>IF('Management and Hedging'!$G$13="yes",BH22+BI22,CQ22)</f>
        <v>-0.21146509946212769</v>
      </c>
      <c r="BH22" s="92">
        <f>HLOOKUP(BH$1,'Asset Returns'!$F$1:$ZY$109,ROW(),0)*'Management and Hedging'!$G$10</f>
        <v>-3.3138599999999997E-2</v>
      </c>
      <c r="BI22" s="92">
        <f>HLOOKUP(BI$1,'Asset Returns'!$F$1:$ZY$109,ROW(),0)*'Management and Hedging'!$G$11</f>
        <v>-0.1783264994621277</v>
      </c>
      <c r="BJ22" s="92">
        <f>HLOOKUP(BJ$1,'AC4'!$F$1:$AC$109,ROW(),0)</f>
        <v>-0.16569299999999998</v>
      </c>
      <c r="BK22" s="92">
        <f>HLOOKUP(BK$1,'AC4'!$F$1:$AC$109,ROW(),0)</f>
        <v>-0.22290812432765961</v>
      </c>
      <c r="BL22" s="138">
        <f ca="1">'Management and Hedging'!$R$34</f>
        <v>2.5919346055080732</v>
      </c>
      <c r="BM22" s="138">
        <f ca="1">'Management and Hedging'!$R$36</f>
        <v>-2.1312105104673718</v>
      </c>
      <c r="BN22" s="138">
        <f>'Management and Hedging'!$R$38</f>
        <v>-1.1865814872722835</v>
      </c>
      <c r="BR22" s="208"/>
      <c r="BS22" s="208"/>
      <c r="BT22" s="208"/>
      <c r="BU22" s="208"/>
      <c r="BV22" s="208"/>
      <c r="BW22" s="208"/>
      <c r="BX22" s="208"/>
      <c r="BY22" s="208"/>
      <c r="BZ22" s="208"/>
      <c r="CA22" s="208"/>
      <c r="CB22" s="208"/>
      <c r="CC22" s="208"/>
      <c r="CD22" s="208"/>
      <c r="CE22" s="208"/>
      <c r="CF22" s="208"/>
      <c r="CG22" s="208"/>
      <c r="CH22" s="208"/>
      <c r="CI22" s="208"/>
      <c r="CJ22" s="208"/>
      <c r="CK22" s="343">
        <f>CK21*(1+BA22+'Risk Factors'!$J22)</f>
        <v>0.20341322237132115</v>
      </c>
      <c r="CL22" s="343">
        <f>CL21*(1+BB22+'Risk Factors'!$J22)</f>
        <v>0.29028613462599051</v>
      </c>
      <c r="CN22" s="343">
        <f t="shared" si="9"/>
        <v>0.4120184065227146</v>
      </c>
      <c r="CO22" s="343">
        <f t="shared" si="12"/>
        <v>0.5879815934772854</v>
      </c>
      <c r="CP22" s="418">
        <f t="shared" si="10"/>
        <v>0.49369935699731166</v>
      </c>
      <c r="CQ22" s="343">
        <f t="shared" si="13"/>
        <v>-0.12413648676016442</v>
      </c>
      <c r="CS22" s="92"/>
      <c r="CT22" s="260"/>
      <c r="CU22" s="260"/>
      <c r="CV22" s="260"/>
      <c r="CW22" s="260"/>
      <c r="CX22" s="260"/>
      <c r="CY22" s="260"/>
      <c r="CZ22" s="260"/>
      <c r="DB22" s="331">
        <v>0.3</v>
      </c>
      <c r="DC22" s="183">
        <v>0.75894954306269047</v>
      </c>
      <c r="DD22" s="183">
        <v>0.39881078999369263</v>
      </c>
      <c r="DE22" s="183">
        <v>0.1871365370611956</v>
      </c>
      <c r="DF22" s="183">
        <v>0.4646096028343667</v>
      </c>
      <c r="DG22" s="183"/>
      <c r="DH22" s="260"/>
      <c r="DI22" s="260"/>
    </row>
    <row r="23" spans="6:113">
      <c r="F23" s="421">
        <v>40847</v>
      </c>
      <c r="G23" s="92">
        <f>IF(Portfolios!$G$16="yes",SUM(T23:X23),AX23)</f>
        <v>4.3454804085195066E-2</v>
      </c>
      <c r="H23" s="138" t="e">
        <f>IF(IF(Portfolios!$J$10="no",'AC3'!Y23,'AC3'!AE23)=0,NA(),IF(Portfolios!$J$10="no",Y23,AE23))</f>
        <v>#N/A</v>
      </c>
      <c r="I23" s="138" t="e">
        <f>IF(Portfolios!$J$11="no",NA(),IF(IF(Portfolios!$J$10="no",'AC3'!Z23,'AC3'!AF23)=0,NA(),IF(Portfolios!$J$10="no",Z23,AF23)))</f>
        <v>#N/A</v>
      </c>
      <c r="J23" s="138" t="e">
        <f>IF(Portfolios!$J$11="no",NA(),IF(IF(Portfolios!$J$10="no",'AC3'!AA23,'AC3'!AG23)=0,NA(),IF(Portfolios!$J$10="no",AA23,AG23)))</f>
        <v>#N/A</v>
      </c>
      <c r="K23" s="138" t="e">
        <f>IF(Portfolios!$J$11="no",NA(),IF(IF(Portfolios!$J$10="no",'AC3'!AB23,'AC3'!AH23)=0,NA(),IF(Portfolios!$J$10="no",AB23,AH23)))</f>
        <v>#N/A</v>
      </c>
      <c r="L23" s="138" t="e">
        <f>IF(Portfolios!$J$11="no",NA(),IF(IF(Portfolios!$J$10="no",'AC3'!AC23,'AC3'!AI23)=0,NA(),IF(Portfolios!$J$10="no",AC23,AI23)))</f>
        <v>#N/A</v>
      </c>
      <c r="M23" s="138" t="e">
        <f>IF(Portfolios!$J$11="no",NA(),IF(IF(Portfolios!$J$10="no",'AC3'!AD23,'AC3'!AJ23)=0,NA(),IF(Portfolios!$J$10="no",AD23,AJ23)))</f>
        <v>#N/A</v>
      </c>
      <c r="N23" s="92">
        <f>G23-'Risk Factors'!J23</f>
        <v>4.3454804085195066E-2</v>
      </c>
      <c r="O23" s="260">
        <f>HLOOKUP(O$1,'Asset Returns'!$F$1:$N$109,ROW(),0)-'Risk Factors'!$J23</f>
        <v>0.22949913144111633</v>
      </c>
      <c r="P23" s="260">
        <f>HLOOKUP(P$1,'Asset Returns'!$F$1:$N$109,ROW(),0)-'Risk Factors'!$J23</f>
        <v>0.27902090549468994</v>
      </c>
      <c r="Q23" s="260">
        <f>HLOOKUP(Q$1,'Asset Returns'!$F$1:$N$109,ROW(),0)-'Risk Factors'!$J23</f>
        <v>-3.4203357994556427E-2</v>
      </c>
      <c r="R23" s="260">
        <f>HLOOKUP(R$1,'Asset Returns'!$F$1:$N$109,ROW(),0)-'Risk Factors'!$J23</f>
        <v>-2.7662565931677818E-2</v>
      </c>
      <c r="S23" s="260">
        <f>HLOOKUP(S$1,'Asset Returns'!$F$1:$N$109,ROW(),0)-'Risk Factors'!$J23</f>
        <v>5.5812887847423553E-2</v>
      </c>
      <c r="T23" s="260">
        <f>HLOOKUP(T$1,'Asset Returns'!$F$1:$N$109,ROW(),0)*Portfolios!$G$10</f>
        <v>2.2949913144111635E-2</v>
      </c>
      <c r="U23" s="260">
        <f>HLOOKUP(U$1,'Asset Returns'!$F$1:$N$109,ROW(),0)*Portfolios!$G$11</f>
        <v>2.7902090549468996E-2</v>
      </c>
      <c r="V23" s="260">
        <f>HLOOKUP(V$1,'Asset Returns'!$F$1:$N$109,ROW(),0)*Portfolios!$G$12</f>
        <v>-1.0261007398366927E-2</v>
      </c>
      <c r="W23" s="260">
        <f>HLOOKUP(W$1,'Asset Returns'!$F$1:$N$109,ROW(),0)*Portfolios!$G$13</f>
        <v>-8.2987697795033448E-3</v>
      </c>
      <c r="X23" s="260">
        <f>HLOOKUP(X$1,'Asset Returns'!$F$1:$N$109,ROW(),0)*Portfolios!$G$14</f>
        <v>1.1162577569484708E-2</v>
      </c>
      <c r="Y23" s="138">
        <f>Portfolios!$R$34</f>
        <v>-0.68211369708646341</v>
      </c>
      <c r="Z23" s="138">
        <f>Portfolios!$P$11</f>
        <v>0.9378377404978776</v>
      </c>
      <c r="AA23" s="138">
        <f>Portfolios!$P$12</f>
        <v>0.64097224418739052</v>
      </c>
      <c r="AB23" s="138">
        <f>Portfolios!$P$13</f>
        <v>-2.1312105104673718</v>
      </c>
      <c r="AC23" s="138">
        <f>Portfolios!$P$14</f>
        <v>-0.78557102570241866</v>
      </c>
      <c r="AD23" s="138">
        <f>Portfolios!$P$15</f>
        <v>0.17519882647973573</v>
      </c>
      <c r="AL23" s="343">
        <f>AL22*(1+O23+'Risk Factors'!$J23)</f>
        <v>8.0098288834839049E-2</v>
      </c>
      <c r="AM23" s="343">
        <f>AM22*(1+P23+'Risk Factors'!$J23)</f>
        <v>0.12397369285329907</v>
      </c>
      <c r="AN23" s="343">
        <f>AN22*(1+Q23+'Risk Factors'!$J23)</f>
        <v>7.7251785908020204E-2</v>
      </c>
      <c r="AO23" s="343">
        <f>AO22*(1+R23+'Risk Factors'!$J23)</f>
        <v>0.25109288343240099</v>
      </c>
      <c r="AP23" s="343">
        <f>AP22*(1+S23+'Risk Factors'!$J23)</f>
        <v>0.29085992057728899</v>
      </c>
      <c r="AR23" s="343">
        <f t="shared" si="3"/>
        <v>9.7292078503585649E-2</v>
      </c>
      <c r="AS23" s="343">
        <f t="shared" si="4"/>
        <v>0.15058571703489781</v>
      </c>
      <c r="AT23" s="343">
        <f t="shared" si="5"/>
        <v>9.3834549132542605E-2</v>
      </c>
      <c r="AU23" s="343">
        <f t="shared" si="6"/>
        <v>0.30499214005644526</v>
      </c>
      <c r="AV23" s="343">
        <f t="shared" si="7"/>
        <v>0.35329551527252862</v>
      </c>
      <c r="AW23" s="418">
        <f t="shared" si="8"/>
        <v>0.82327657160584833</v>
      </c>
      <c r="AX23" s="343">
        <f t="shared" si="11"/>
        <v>6.1218783630634377E-2</v>
      </c>
      <c r="AZ23" s="421">
        <v>40847</v>
      </c>
      <c r="BA23" s="92">
        <f>HLOOKUP(BA$1,'AC4'!$F$1:$AC$109,ROW(),0)*'Management and Hedging'!$G$10</f>
        <v>1.9478040000000002E-2</v>
      </c>
      <c r="BB23" s="92">
        <f>HLOOKUP(BB$1,'AC4'!$F$1:$AC$109,ROW(),0)*'Management and Hedging'!$G$11</f>
        <v>-2.7362686395645142E-2</v>
      </c>
      <c r="BC23" s="92">
        <f>IF('Management and Hedging'!$G$13="yes",BA23+BB23,CQ23)</f>
        <v>-7.8846463956451403E-3</v>
      </c>
      <c r="BD23" s="138" t="e">
        <f>IF(IF('Management and Hedging'!$J$10="no",BL23,BO23)=0,NA(),IF('Management and Hedging'!$J$10="no",BL23,BO23))</f>
        <v>#N/A</v>
      </c>
      <c r="BE23" s="138" t="e">
        <f>IF(IF('Management and Hedging'!$J$10="no",BM23,BP23)=0,NA(),IF('Management and Hedging'!$J$10="no",BM23,BP23))</f>
        <v>#N/A</v>
      </c>
      <c r="BF23" s="138" t="e">
        <f>IF(IF('Management and Hedging'!$J$10="no",BN23,BQ23)=0,NA(),IF('Management and Hedging'!$J$10="no",BN23,BQ23))</f>
        <v>#N/A</v>
      </c>
      <c r="BG23" s="92">
        <f>IF('Management and Hedging'!$G$13="yes",BH23+BI23,CQ23)</f>
        <v>-7.8846463956451403E-3</v>
      </c>
      <c r="BH23" s="92">
        <f>HLOOKUP(BH$1,'Asset Returns'!$F$1:$ZY$109,ROW(),0)*'Management and Hedging'!$G$10</f>
        <v>1.9478040000000002E-2</v>
      </c>
      <c r="BI23" s="92">
        <f>HLOOKUP(BI$1,'Asset Returns'!$F$1:$ZY$109,ROW(),0)*'Management and Hedging'!$G$11</f>
        <v>-2.7362686395645142E-2</v>
      </c>
      <c r="BJ23" s="92">
        <f>HLOOKUP(BJ$1,'AC4'!$F$1:$AC$109,ROW(),0)</f>
        <v>9.7390199999999996E-2</v>
      </c>
      <c r="BK23" s="92">
        <f>HLOOKUP(BK$1,'AC4'!$F$1:$AC$109,ROW(),0)</f>
        <v>-3.4203357994556427E-2</v>
      </c>
      <c r="BL23" s="138">
        <f ca="1">'Management and Hedging'!$R$34</f>
        <v>2.5919346055080732</v>
      </c>
      <c r="BM23" s="138">
        <f ca="1">'Management and Hedging'!$R$36</f>
        <v>-2.1312105104673718</v>
      </c>
      <c r="BN23" s="138">
        <f>'Management and Hedging'!$R$38</f>
        <v>-1.1865814872722835</v>
      </c>
      <c r="BR23" s="208"/>
      <c r="BS23" s="208"/>
      <c r="BT23" s="208"/>
      <c r="BU23" s="208"/>
      <c r="BV23" s="208"/>
      <c r="BW23" s="208"/>
      <c r="BX23" s="208"/>
      <c r="BY23" s="208"/>
      <c r="BZ23" s="208"/>
      <c r="CA23" s="208"/>
      <c r="CB23" s="208"/>
      <c r="CC23" s="208"/>
      <c r="CD23" s="208"/>
      <c r="CE23" s="208"/>
      <c r="CF23" s="208"/>
      <c r="CG23" s="208"/>
      <c r="CH23" s="208"/>
      <c r="CI23" s="208"/>
      <c r="CJ23" s="208"/>
      <c r="CK23" s="343">
        <f>CK22*(1+BA23+'Risk Factors'!$J23)</f>
        <v>0.20737531325319866</v>
      </c>
      <c r="CL23" s="343">
        <f>CL22*(1+BB23+'Risk Factors'!$J23)</f>
        <v>0.28234312615921553</v>
      </c>
      <c r="CN23" s="343">
        <f t="shared" si="9"/>
        <v>0.42345824980986363</v>
      </c>
      <c r="CO23" s="343">
        <f t="shared" si="12"/>
        <v>0.57654175019013632</v>
      </c>
      <c r="CP23" s="418">
        <f t="shared" si="10"/>
        <v>0.48971843941241422</v>
      </c>
      <c r="CQ23" s="343">
        <f t="shared" si="13"/>
        <v>-8.0634449457448465E-3</v>
      </c>
      <c r="CS23" s="92"/>
      <c r="CT23" s="260"/>
      <c r="CU23" s="260"/>
      <c r="CV23" s="260"/>
      <c r="CW23" s="260"/>
      <c r="CX23" s="260"/>
      <c r="CY23" s="260"/>
      <c r="CZ23" s="260"/>
      <c r="DB23" s="331">
        <v>0.4</v>
      </c>
      <c r="DC23" s="183">
        <v>0.62604766543540502</v>
      </c>
      <c r="DD23" s="183">
        <v>0.39863425030228644</v>
      </c>
      <c r="DE23" s="183">
        <v>0.17719089740485511</v>
      </c>
      <c r="DF23" s="183">
        <v>0.44176972134775971</v>
      </c>
      <c r="DG23" s="183"/>
      <c r="DH23" s="260"/>
      <c r="DI23" s="260"/>
    </row>
    <row r="24" spans="6:113">
      <c r="F24" s="421">
        <v>40877</v>
      </c>
      <c r="G24" s="92">
        <f>IF(Portfolios!$G$16="yes",SUM(T24:X24),AX24)</f>
        <v>-7.449821531772613E-2</v>
      </c>
      <c r="H24" s="138" t="e">
        <f>IF(IF(Portfolios!$J$10="no",'AC3'!Y24,'AC3'!AE24)=0,NA(),IF(Portfolios!$J$10="no",Y24,AE24))</f>
        <v>#N/A</v>
      </c>
      <c r="I24" s="138" t="e">
        <f>IF(Portfolios!$J$11="no",NA(),IF(IF(Portfolios!$J$10="no",'AC3'!Z24,'AC3'!AF24)=0,NA(),IF(Portfolios!$J$10="no",Z24,AF24)))</f>
        <v>#N/A</v>
      </c>
      <c r="J24" s="138" t="e">
        <f>IF(Portfolios!$J$11="no",NA(),IF(IF(Portfolios!$J$10="no",'AC3'!AA24,'AC3'!AG24)=0,NA(),IF(Portfolios!$J$10="no",AA24,AG24)))</f>
        <v>#N/A</v>
      </c>
      <c r="K24" s="138" t="e">
        <f>IF(Portfolios!$J$11="no",NA(),IF(IF(Portfolios!$J$10="no",'AC3'!AB24,'AC3'!AH24)=0,NA(),IF(Portfolios!$J$10="no",AB24,AH24)))</f>
        <v>#N/A</v>
      </c>
      <c r="L24" s="138" t="e">
        <f>IF(Portfolios!$J$11="no",NA(),IF(IF(Portfolios!$J$10="no",'AC3'!AC24,'AC3'!AI24)=0,NA(),IF(Portfolios!$J$10="no",AC24,AI24)))</f>
        <v>#N/A</v>
      </c>
      <c r="M24" s="138" t="e">
        <f>IF(Portfolios!$J$11="no",NA(),IF(IF(Portfolios!$J$10="no",'AC3'!AD24,'AC3'!AJ24)=0,NA(),IF(Portfolios!$J$10="no",AD24,AJ24)))</f>
        <v>#N/A</v>
      </c>
      <c r="N24" s="92">
        <f>G24-'Risk Factors'!J24</f>
        <v>-7.449821531772613E-2</v>
      </c>
      <c r="O24" s="260">
        <f>HLOOKUP(O$1,'Asset Returns'!$F$1:$N$109,ROW(),0)-'Risk Factors'!$J24</f>
        <v>-1.6501657664775848E-2</v>
      </c>
      <c r="P24" s="260">
        <f>HLOOKUP(P$1,'Asset Returns'!$F$1:$N$109,ROW(),0)-'Risk Factors'!$J24</f>
        <v>-0.18779569864273071</v>
      </c>
      <c r="Q24" s="260">
        <f>HLOOKUP(Q$1,'Asset Returns'!$F$1:$N$109,ROW(),0)-'Risk Factors'!$J24</f>
        <v>-0.14827390015125275</v>
      </c>
      <c r="R24" s="260">
        <f>HLOOKUP(R$1,'Asset Returns'!$F$1:$N$109,ROW(),0)-'Risk Factors'!$J24</f>
        <v>-4.6841815114021301E-2</v>
      </c>
      <c r="S24" s="260">
        <f>HLOOKUP(S$1,'Asset Returns'!$F$1:$N$109,ROW(),0)-'Risk Factors'!$J24</f>
        <v>2.2331174463033676E-2</v>
      </c>
      <c r="T24" s="260">
        <f>HLOOKUP(T$1,'Asset Returns'!$F$1:$N$109,ROW(),0)*Portfolios!$G$10</f>
        <v>-1.6501657664775848E-3</v>
      </c>
      <c r="U24" s="260">
        <f>HLOOKUP(U$1,'Asset Returns'!$F$1:$N$109,ROW(),0)*Portfolios!$G$11</f>
        <v>-1.8779569864273073E-2</v>
      </c>
      <c r="V24" s="260">
        <f>HLOOKUP(V$1,'Asset Returns'!$F$1:$N$109,ROW(),0)*Portfolios!$G$12</f>
        <v>-4.4482170045375823E-2</v>
      </c>
      <c r="W24" s="260">
        <f>HLOOKUP(W$1,'Asset Returns'!$F$1:$N$109,ROW(),0)*Portfolios!$G$13</f>
        <v>-1.4052544534206389E-2</v>
      </c>
      <c r="X24" s="260">
        <f>HLOOKUP(X$1,'Asset Returns'!$F$1:$N$109,ROW(),0)*Portfolios!$G$14</f>
        <v>4.4662348926067345E-3</v>
      </c>
      <c r="Y24" s="138">
        <f>Portfolios!$R$34</f>
        <v>-0.68211369708646341</v>
      </c>
      <c r="Z24" s="138">
        <f>Portfolios!$P$11</f>
        <v>0.9378377404978776</v>
      </c>
      <c r="AA24" s="138">
        <f>Portfolios!$P$12</f>
        <v>0.64097224418739052</v>
      </c>
      <c r="AB24" s="138">
        <f>Portfolios!$P$13</f>
        <v>-2.1312105104673718</v>
      </c>
      <c r="AC24" s="138">
        <f>Portfolios!$P$14</f>
        <v>-0.78557102570241866</v>
      </c>
      <c r="AD24" s="138">
        <f>Portfolios!$P$15</f>
        <v>0.17519882647973573</v>
      </c>
      <c r="AL24" s="343">
        <f>AL23*(1+O24+'Risk Factors'!$J24)</f>
        <v>7.8776534292952199E-2</v>
      </c>
      <c r="AM24" s="343">
        <f>AM23*(1+P24+'Risk Factors'!$J24)</f>
        <v>0.10069196659059446</v>
      </c>
      <c r="AN24" s="343">
        <f>AN23*(1+Q24+'Risk Factors'!$J24)</f>
        <v>6.579736231778846E-2</v>
      </c>
      <c r="AO24" s="343">
        <f>AO23*(1+R24+'Risk Factors'!$J24)</f>
        <v>0.23933123701021397</v>
      </c>
      <c r="AP24" s="343">
        <f>AP23*(1+S24+'Risk Factors'!$J24)</f>
        <v>0.29735516420800456</v>
      </c>
      <c r="AR24" s="343">
        <f t="shared" si="3"/>
        <v>0.10074340580294673</v>
      </c>
      <c r="AS24" s="343">
        <f t="shared" si="4"/>
        <v>0.12876996611211108</v>
      </c>
      <c r="AT24" s="343">
        <f t="shared" si="5"/>
        <v>8.4144985968715252E-2</v>
      </c>
      <c r="AU24" s="343">
        <f t="shared" si="6"/>
        <v>0.30606885854838023</v>
      </c>
      <c r="AV24" s="343">
        <f t="shared" si="7"/>
        <v>0.38027278356784672</v>
      </c>
      <c r="AW24" s="418">
        <f t="shared" si="8"/>
        <v>0.78195226441955368</v>
      </c>
      <c r="AX24" s="343">
        <f t="shared" si="11"/>
        <v>-5.0194926725157796E-2</v>
      </c>
      <c r="AZ24" s="421">
        <v>40877</v>
      </c>
      <c r="BA24" s="92">
        <f>HLOOKUP(BA$1,'AC4'!$F$1:$AC$109,ROW(),0)*'Management and Hedging'!$G$10</f>
        <v>-4.0603200000000001E-3</v>
      </c>
      <c r="BB24" s="92">
        <f>HLOOKUP(BB$1,'AC4'!$F$1:$AC$109,ROW(),0)*'Management and Hedging'!$G$11</f>
        <v>-0.1186191201210022</v>
      </c>
      <c r="BC24" s="92">
        <f>IF('Management and Hedging'!$G$13="yes",BA24+BB24,CQ24)</f>
        <v>-0.12267944012100221</v>
      </c>
      <c r="BD24" s="138" t="e">
        <f>IF(IF('Management and Hedging'!$J$10="no",BL24,BO24)=0,NA(),IF('Management and Hedging'!$J$10="no",BL24,BO24))</f>
        <v>#N/A</v>
      </c>
      <c r="BE24" s="138" t="e">
        <f>IF(IF('Management and Hedging'!$J$10="no",BM24,BP24)=0,NA(),IF('Management and Hedging'!$J$10="no",BM24,BP24))</f>
        <v>#N/A</v>
      </c>
      <c r="BF24" s="138" t="e">
        <f>IF(IF('Management and Hedging'!$J$10="no",BN24,BQ24)=0,NA(),IF('Management and Hedging'!$J$10="no",BN24,BQ24))</f>
        <v>#N/A</v>
      </c>
      <c r="BG24" s="92">
        <f>IF('Management and Hedging'!$G$13="yes",BH24+BI24,CQ24)</f>
        <v>-0.12267944012100221</v>
      </c>
      <c r="BH24" s="92">
        <f>HLOOKUP(BH$1,'Asset Returns'!$F$1:$ZY$109,ROW(),0)*'Management and Hedging'!$G$10</f>
        <v>-4.0603200000000001E-3</v>
      </c>
      <c r="BI24" s="92">
        <f>HLOOKUP(BI$1,'Asset Returns'!$F$1:$ZY$109,ROW(),0)*'Management and Hedging'!$G$11</f>
        <v>-0.1186191201210022</v>
      </c>
      <c r="BJ24" s="92">
        <f>HLOOKUP(BJ$1,'AC4'!$F$1:$AC$109,ROW(),0)</f>
        <v>-2.03016E-2</v>
      </c>
      <c r="BK24" s="92">
        <f>HLOOKUP(BK$1,'AC4'!$F$1:$AC$109,ROW(),0)</f>
        <v>-0.14827390015125275</v>
      </c>
      <c r="BL24" s="138">
        <f ca="1">'Management and Hedging'!$R$34</f>
        <v>2.5919346055080732</v>
      </c>
      <c r="BM24" s="138">
        <f ca="1">'Management and Hedging'!$R$36</f>
        <v>-2.1312105104673718</v>
      </c>
      <c r="BN24" s="138">
        <f>'Management and Hedging'!$R$38</f>
        <v>-1.1865814872722835</v>
      </c>
      <c r="BR24" s="208"/>
      <c r="BS24" s="208"/>
      <c r="BT24" s="208"/>
      <c r="BU24" s="208"/>
      <c r="BV24" s="208"/>
      <c r="BW24" s="208"/>
      <c r="BX24" s="208"/>
      <c r="BY24" s="208"/>
      <c r="BZ24" s="208"/>
      <c r="CA24" s="208"/>
      <c r="CB24" s="208"/>
      <c r="CC24" s="208"/>
      <c r="CD24" s="208"/>
      <c r="CE24" s="208"/>
      <c r="CF24" s="208"/>
      <c r="CG24" s="208"/>
      <c r="CH24" s="208"/>
      <c r="CI24" s="208"/>
      <c r="CJ24" s="208"/>
      <c r="CK24" s="343">
        <f>CK23*(1+BA24+'Risk Factors'!$J24)</f>
        <v>0.20653330312129042</v>
      </c>
      <c r="CL24" s="343">
        <f>CL23*(1+BB24+'Risk Factors'!$J24)</f>
        <v>0.24885183296199628</v>
      </c>
      <c r="CN24" s="343">
        <f t="shared" si="9"/>
        <v>0.45353545110773436</v>
      </c>
      <c r="CO24" s="343">
        <f t="shared" si="12"/>
        <v>0.5464645488922657</v>
      </c>
      <c r="CP24" s="418">
        <f t="shared" si="10"/>
        <v>0.45538513608328668</v>
      </c>
      <c r="CQ24" s="343">
        <f t="shared" si="13"/>
        <v>-7.0108251121444698E-2</v>
      </c>
      <c r="CS24" s="92"/>
      <c r="CT24" s="260"/>
      <c r="CU24" s="260"/>
      <c r="CV24" s="260"/>
      <c r="CW24" s="260"/>
      <c r="CX24" s="260"/>
      <c r="CY24" s="260"/>
      <c r="CZ24" s="260"/>
      <c r="DB24" s="331">
        <v>0.5</v>
      </c>
      <c r="DC24" s="183">
        <v>0.51612665543499958</v>
      </c>
      <c r="DD24" s="183">
        <v>0.39176335406807067</v>
      </c>
      <c r="DE24" s="183">
        <v>0.16730698534897953</v>
      </c>
      <c r="DF24" s="183">
        <v>0.42513469588198427</v>
      </c>
      <c r="DG24" s="183"/>
      <c r="DH24" s="260"/>
      <c r="DI24" s="260"/>
    </row>
    <row r="25" spans="6:113">
      <c r="F25" s="421">
        <v>40908</v>
      </c>
      <c r="G25" s="92">
        <f>IF(Portfolios!$G$16="yes",SUM(T25:X25),AX25)</f>
        <v>-5.3290490526705973E-2</v>
      </c>
      <c r="H25" s="138" t="e">
        <f>IF(IF(Portfolios!$J$10="no",'AC3'!Y25,'AC3'!AE25)=0,NA(),IF(Portfolios!$J$10="no",Y25,AE25))</f>
        <v>#N/A</v>
      </c>
      <c r="I25" s="138" t="e">
        <f>IF(Portfolios!$J$11="no",NA(),IF(IF(Portfolios!$J$10="no",'AC3'!Z25,'AC3'!AF25)=0,NA(),IF(Portfolios!$J$10="no",Z25,AF25)))</f>
        <v>#N/A</v>
      </c>
      <c r="J25" s="138" t="e">
        <f>IF(Portfolios!$J$11="no",NA(),IF(IF(Portfolios!$J$10="no",'AC3'!AA25,'AC3'!AG25)=0,NA(),IF(Portfolios!$J$10="no",AA25,AG25)))</f>
        <v>#N/A</v>
      </c>
      <c r="K25" s="138" t="e">
        <f>IF(Portfolios!$J$11="no",NA(),IF(IF(Portfolios!$J$10="no",'AC3'!AB25,'AC3'!AH25)=0,NA(),IF(Portfolios!$J$10="no",AB25,AH25)))</f>
        <v>#N/A</v>
      </c>
      <c r="L25" s="138" t="e">
        <f>IF(Portfolios!$J$11="no",NA(),IF(IF(Portfolios!$J$10="no",'AC3'!AC25,'AC3'!AI25)=0,NA(),IF(Portfolios!$J$10="no",AC25,AI25)))</f>
        <v>#N/A</v>
      </c>
      <c r="M25" s="138" t="e">
        <f>IF(Portfolios!$J$11="no",NA(),IF(IF(Portfolios!$J$10="no",'AC3'!AD25,'AC3'!AJ25)=0,NA(),IF(Portfolios!$J$10="no",AD25,AJ25)))</f>
        <v>#N/A</v>
      </c>
      <c r="N25" s="92">
        <f>G25-'Risk Factors'!J25</f>
        <v>-5.3290490526705973E-2</v>
      </c>
      <c r="O25" s="260">
        <f>HLOOKUP(O$1,'Asset Returns'!$F$1:$N$109,ROW(),0)-'Risk Factors'!$J25</f>
        <v>-1.2424989603459835E-2</v>
      </c>
      <c r="P25" s="260">
        <f>HLOOKUP(P$1,'Asset Returns'!$F$1:$N$109,ROW(),0)-'Risk Factors'!$J25</f>
        <v>1.6616249457001686E-2</v>
      </c>
      <c r="Q25" s="260">
        <f>HLOOKUP(Q$1,'Asset Returns'!$F$1:$N$109,ROW(),0)-'Risk Factors'!$J25</f>
        <v>-0.19590823352336884</v>
      </c>
      <c r="R25" s="260">
        <f>HLOOKUP(R$1,'Asset Returns'!$F$1:$N$109,ROW(),0)-'Risk Factors'!$J25</f>
        <v>3.1486108899116516E-2</v>
      </c>
      <c r="S25" s="260">
        <f>HLOOKUP(S$1,'Asset Returns'!$F$1:$N$109,ROW(),0)-'Risk Factors'!$J25</f>
        <v>-2.1914895623922348E-2</v>
      </c>
      <c r="T25" s="260">
        <f>HLOOKUP(T$1,'Asset Returns'!$F$1:$N$109,ROW(),0)*Portfolios!$G$10</f>
        <v>-1.2424989603459836E-3</v>
      </c>
      <c r="U25" s="260">
        <f>HLOOKUP(U$1,'Asset Returns'!$F$1:$N$109,ROW(),0)*Portfolios!$G$11</f>
        <v>1.6616249457001688E-3</v>
      </c>
      <c r="V25" s="260">
        <f>HLOOKUP(V$1,'Asset Returns'!$F$1:$N$109,ROW(),0)*Portfolios!$G$12</f>
        <v>-5.8772470057010646E-2</v>
      </c>
      <c r="W25" s="260">
        <f>HLOOKUP(W$1,'Asset Returns'!$F$1:$N$109,ROW(),0)*Portfolios!$G$13</f>
        <v>9.4458326697349545E-3</v>
      </c>
      <c r="X25" s="260">
        <f>HLOOKUP(X$1,'Asset Returns'!$F$1:$N$109,ROW(),0)*Portfolios!$G$14</f>
        <v>-4.3829791247844687E-3</v>
      </c>
      <c r="Y25" s="138">
        <f>Portfolios!$R$34</f>
        <v>-0.68211369708646341</v>
      </c>
      <c r="Z25" s="138">
        <f>Portfolios!$P$11</f>
        <v>0.9378377404978776</v>
      </c>
      <c r="AA25" s="138">
        <f>Portfolios!$P$12</f>
        <v>0.64097224418739052</v>
      </c>
      <c r="AB25" s="138">
        <f>Portfolios!$P$13</f>
        <v>-2.1312105104673718</v>
      </c>
      <c r="AC25" s="138">
        <f>Portfolios!$P$14</f>
        <v>-0.78557102570241866</v>
      </c>
      <c r="AD25" s="138">
        <f>Portfolios!$P$15</f>
        <v>0.17519882647973573</v>
      </c>
      <c r="AL25" s="343">
        <f>AL24*(1+O25+'Risk Factors'!$J25)</f>
        <v>7.7797736673365675E-2</v>
      </c>
      <c r="AM25" s="343">
        <f>AM24*(1+P25+'Risk Factors'!$J25)</f>
        <v>0.10236508942577985</v>
      </c>
      <c r="AN25" s="343">
        <f>AN24*(1+Q25+'Risk Factors'!$J25)</f>
        <v>5.2907117295613447E-2</v>
      </c>
      <c r="AO25" s="343">
        <f>AO24*(1+R25+'Risk Factors'!$J25)</f>
        <v>0.24686684640167783</v>
      </c>
      <c r="AP25" s="343">
        <f>AP24*(1+S25+'Risk Factors'!$J25)</f>
        <v>0.29083865682115184</v>
      </c>
      <c r="AR25" s="343">
        <f t="shared" si="3"/>
        <v>0.10093437331815283</v>
      </c>
      <c r="AS25" s="343">
        <f t="shared" si="4"/>
        <v>0.13280792723093462</v>
      </c>
      <c r="AT25" s="343">
        <f t="shared" si="5"/>
        <v>6.8641414990302227E-2</v>
      </c>
      <c r="AU25" s="343">
        <f t="shared" si="6"/>
        <v>0.32028374474694177</v>
      </c>
      <c r="AV25" s="343">
        <f t="shared" si="7"/>
        <v>0.37733253971366848</v>
      </c>
      <c r="AW25" s="418">
        <f t="shared" si="8"/>
        <v>0.77077544661758868</v>
      </c>
      <c r="AX25" s="343">
        <f t="shared" si="11"/>
        <v>-1.4293478400835169E-2</v>
      </c>
      <c r="AZ25" s="421">
        <v>40908</v>
      </c>
      <c r="BA25" s="92">
        <f>HLOOKUP(BA$1,'AC4'!$F$1:$AC$109,ROW(),0)*'Management and Hedging'!$G$10</f>
        <v>-2.2118400000000003E-2</v>
      </c>
      <c r="BB25" s="92">
        <f>HLOOKUP(BB$1,'AC4'!$F$1:$AC$109,ROW(),0)*'Management and Hedging'!$G$11</f>
        <v>-0.15672658681869509</v>
      </c>
      <c r="BC25" s="92">
        <f>IF('Management and Hedging'!$G$13="yes",BA25+BB25,CQ25)</f>
        <v>-0.1788449868186951</v>
      </c>
      <c r="BD25" s="138" t="e">
        <f>IF(IF('Management and Hedging'!$J$10="no",BL25,BO25)=0,NA(),IF('Management and Hedging'!$J$10="no",BL25,BO25))</f>
        <v>#N/A</v>
      </c>
      <c r="BE25" s="138" t="e">
        <f>IF(IF('Management and Hedging'!$J$10="no",BM25,BP25)=0,NA(),IF('Management and Hedging'!$J$10="no",BM25,BP25))</f>
        <v>#N/A</v>
      </c>
      <c r="BF25" s="138" t="e">
        <f>IF(IF('Management and Hedging'!$J$10="no",BN25,BQ25)=0,NA(),IF('Management and Hedging'!$J$10="no",BN25,BQ25))</f>
        <v>#N/A</v>
      </c>
      <c r="BG25" s="92">
        <f>IF('Management and Hedging'!$G$13="yes",BH25+BI25,CQ25)</f>
        <v>-0.1788449868186951</v>
      </c>
      <c r="BH25" s="92">
        <f>HLOOKUP(BH$1,'Asset Returns'!$F$1:$ZY$109,ROW(),0)*'Management and Hedging'!$G$10</f>
        <v>-2.2118400000000003E-2</v>
      </c>
      <c r="BI25" s="92">
        <f>HLOOKUP(BI$1,'Asset Returns'!$F$1:$ZY$109,ROW(),0)*'Management and Hedging'!$G$11</f>
        <v>-0.15672658681869509</v>
      </c>
      <c r="BJ25" s="92">
        <f>HLOOKUP(BJ$1,'AC4'!$F$1:$AC$109,ROW(),0)</f>
        <v>-0.11059200000000001</v>
      </c>
      <c r="BK25" s="92">
        <f>HLOOKUP(BK$1,'AC4'!$F$1:$AC$109,ROW(),0)</f>
        <v>-0.19590823352336884</v>
      </c>
      <c r="BL25" s="138">
        <f ca="1">'Management and Hedging'!$R$34</f>
        <v>2.5919346055080732</v>
      </c>
      <c r="BM25" s="138">
        <f ca="1">'Management and Hedging'!$R$36</f>
        <v>-2.1312105104673718</v>
      </c>
      <c r="BN25" s="138">
        <f>'Management and Hedging'!$R$38</f>
        <v>-1.1865814872722835</v>
      </c>
      <c r="BR25" s="208"/>
      <c r="BS25" s="208"/>
      <c r="BT25" s="208"/>
      <c r="BU25" s="208"/>
      <c r="BV25" s="208"/>
      <c r="BW25" s="208"/>
      <c r="BX25" s="208"/>
      <c r="BY25" s="208"/>
      <c r="BZ25" s="208"/>
      <c r="CA25" s="208"/>
      <c r="CB25" s="208"/>
      <c r="CC25" s="208"/>
      <c r="CD25" s="208"/>
      <c r="CE25" s="208"/>
      <c r="CF25" s="208"/>
      <c r="CG25" s="208"/>
      <c r="CH25" s="208"/>
      <c r="CI25" s="208"/>
      <c r="CJ25" s="208"/>
      <c r="CK25" s="343">
        <f>CK24*(1+BA25+'Risk Factors'!$J25)</f>
        <v>0.20196511690953248</v>
      </c>
      <c r="CL25" s="343">
        <f>CL24*(1+BB25+'Risk Factors'!$J25)</f>
        <v>0.20985013455828655</v>
      </c>
      <c r="CN25" s="343">
        <f t="shared" si="9"/>
        <v>0.49042651089214179</v>
      </c>
      <c r="CO25" s="343">
        <f t="shared" si="12"/>
        <v>0.50957348910785816</v>
      </c>
      <c r="CP25" s="418">
        <f t="shared" si="10"/>
        <v>0.41181525146781905</v>
      </c>
      <c r="CQ25" s="343">
        <f t="shared" si="13"/>
        <v>-9.5677002087083962E-2</v>
      </c>
      <c r="CS25" s="92"/>
      <c r="CT25" s="260"/>
      <c r="CU25" s="260"/>
      <c r="CV25" s="260"/>
      <c r="CW25" s="260"/>
      <c r="CX25" s="260"/>
      <c r="CY25" s="260"/>
      <c r="CZ25" s="260"/>
      <c r="DB25" s="331">
        <v>0.6</v>
      </c>
      <c r="DC25" s="183">
        <v>0.41825919002413975</v>
      </c>
      <c r="DD25" s="183">
        <v>0.40025734543771885</v>
      </c>
      <c r="DE25" s="183">
        <v>0.16540576319433045</v>
      </c>
      <c r="DF25" s="183">
        <v>0.41403341605373267</v>
      </c>
      <c r="DG25" s="183"/>
      <c r="DH25" s="260"/>
      <c r="DI25" s="260"/>
    </row>
    <row r="26" spans="6:113">
      <c r="F26" s="421">
        <v>40939</v>
      </c>
      <c r="G26" s="92">
        <f>IF(Portfolios!$G$16="yes",SUM(T26:X26),AX26)</f>
        <v>0.10412241704761982</v>
      </c>
      <c r="H26" s="138" t="e">
        <f>IF(IF(Portfolios!$J$10="no",'AC3'!Y26,'AC3'!AE26)=0,NA(),IF(Portfolios!$J$10="no",Y26,AE26))</f>
        <v>#N/A</v>
      </c>
      <c r="I26" s="138" t="e">
        <f>IF(Portfolios!$J$11="no",NA(),IF(IF(Portfolios!$J$10="no",'AC3'!Z26,'AC3'!AF26)=0,NA(),IF(Portfolios!$J$10="no",Z26,AF26)))</f>
        <v>#N/A</v>
      </c>
      <c r="J26" s="138" t="e">
        <f>IF(Portfolios!$J$11="no",NA(),IF(IF(Portfolios!$J$10="no",'AC3'!AA26,'AC3'!AG26)=0,NA(),IF(Portfolios!$J$10="no",AA26,AG26)))</f>
        <v>#N/A</v>
      </c>
      <c r="K26" s="138" t="e">
        <f>IF(Portfolios!$J$11="no",NA(),IF(IF(Portfolios!$J$10="no",'AC3'!AB26,'AC3'!AH26)=0,NA(),IF(Portfolios!$J$10="no",AB26,AH26)))</f>
        <v>#N/A</v>
      </c>
      <c r="L26" s="138" t="e">
        <f>IF(Portfolios!$J$11="no",NA(),IF(IF(Portfolios!$J$10="no",'AC3'!AC26,'AC3'!AI26)=0,NA(),IF(Portfolios!$J$10="no",AC26,AI26)))</f>
        <v>#N/A</v>
      </c>
      <c r="M26" s="138" t="e">
        <f>IF(Portfolios!$J$11="no",NA(),IF(IF(Portfolios!$J$10="no",'AC3'!AD26,'AC3'!AJ26)=0,NA(),IF(Portfolios!$J$10="no",AD26,AJ26)))</f>
        <v>#N/A</v>
      </c>
      <c r="N26" s="92">
        <f>G26-'Risk Factors'!J26</f>
        <v>0.10412241704761982</v>
      </c>
      <c r="O26" s="260">
        <f>HLOOKUP(O$1,'Asset Returns'!$F$1:$N$109,ROW(),0)-'Risk Factors'!$J26</f>
        <v>3.8239728659391403E-2</v>
      </c>
      <c r="P26" s="260">
        <f>HLOOKUP(P$1,'Asset Returns'!$F$1:$N$109,ROW(),0)-'Risk Factors'!$J26</f>
        <v>0.46498546004295349</v>
      </c>
      <c r="Q26" s="260">
        <f>HLOOKUP(Q$1,'Asset Returns'!$F$1:$N$109,ROW(),0)-'Risk Factors'!$J26</f>
        <v>4.2283028364181519E-2</v>
      </c>
      <c r="R26" s="260">
        <f>HLOOKUP(R$1,'Asset Returns'!$F$1:$N$109,ROW(),0)-'Risk Factors'!$J26</f>
        <v>0.10543514043092728</v>
      </c>
      <c r="S26" s="260">
        <f>HLOOKUP(S$1,'Asset Returns'!$F$1:$N$109,ROW(),0)-'Risk Factors'!$J26</f>
        <v>4.7422237694263458E-2</v>
      </c>
      <c r="T26" s="260">
        <f>HLOOKUP(T$1,'Asset Returns'!$F$1:$N$109,ROW(),0)*Portfolios!$G$10</f>
        <v>3.8239728659391404E-3</v>
      </c>
      <c r="U26" s="260">
        <f>HLOOKUP(U$1,'Asset Returns'!$F$1:$N$109,ROW(),0)*Portfolios!$G$11</f>
        <v>4.6498546004295351E-2</v>
      </c>
      <c r="V26" s="260">
        <f>HLOOKUP(V$1,'Asset Returns'!$F$1:$N$109,ROW(),0)*Portfolios!$G$12</f>
        <v>1.2684908509254455E-2</v>
      </c>
      <c r="W26" s="260">
        <f>HLOOKUP(W$1,'Asset Returns'!$F$1:$N$109,ROW(),0)*Portfolios!$G$13</f>
        <v>3.1630542129278183E-2</v>
      </c>
      <c r="X26" s="260">
        <f>HLOOKUP(X$1,'Asset Returns'!$F$1:$N$109,ROW(),0)*Portfolios!$G$14</f>
        <v>9.4844475388526899E-3</v>
      </c>
      <c r="Y26" s="138">
        <f>Portfolios!$R$34</f>
        <v>-0.68211369708646341</v>
      </c>
      <c r="Z26" s="138">
        <f>Portfolios!$P$11</f>
        <v>0.9378377404978776</v>
      </c>
      <c r="AA26" s="138">
        <f>Portfolios!$P$12</f>
        <v>0.64097224418739052</v>
      </c>
      <c r="AB26" s="138">
        <f>Portfolios!$P$13</f>
        <v>-2.1312105104673718</v>
      </c>
      <c r="AC26" s="138">
        <f>Portfolios!$P$14</f>
        <v>-0.78557102570241866</v>
      </c>
      <c r="AD26" s="138">
        <f>Portfolios!$P$15</f>
        <v>0.17519882647973573</v>
      </c>
      <c r="AL26" s="343">
        <f>AL25*(1+O26+'Risk Factors'!$J26)</f>
        <v>8.0772701014069956E-2</v>
      </c>
      <c r="AM26" s="343">
        <f>AM25*(1+P26+'Risk Factors'!$J26)</f>
        <v>0.14996336762476417</v>
      </c>
      <c r="AN26" s="343">
        <f>AN25*(1+Q26+'Risk Factors'!$J26)</f>
        <v>5.514419043689095E-2</v>
      </c>
      <c r="AO26" s="343">
        <f>AO25*(1+R26+'Risk Factors'!$J26)</f>
        <v>0.27289528701977889</v>
      </c>
      <c r="AP26" s="343">
        <f>AP25*(1+S26+'Risk Factors'!$J26)</f>
        <v>0.30463087673560485</v>
      </c>
      <c r="AR26" s="343">
        <f t="shared" si="3"/>
        <v>9.3551193132448973E-2</v>
      </c>
      <c r="AS26" s="343">
        <f t="shared" si="4"/>
        <v>0.17368803805400757</v>
      </c>
      <c r="AT26" s="343">
        <f t="shared" si="5"/>
        <v>6.3868172599496315E-2</v>
      </c>
      <c r="AU26" s="343">
        <f t="shared" si="6"/>
        <v>0.31606816882940886</v>
      </c>
      <c r="AV26" s="343">
        <f t="shared" si="7"/>
        <v>0.35282442738463832</v>
      </c>
      <c r="AW26" s="418">
        <f t="shared" si="8"/>
        <v>0.8634064228311088</v>
      </c>
      <c r="AX26" s="343">
        <f t="shared" si="11"/>
        <v>0.12017894007913044</v>
      </c>
      <c r="AZ26" s="421">
        <v>40939</v>
      </c>
      <c r="BA26" s="92">
        <f>HLOOKUP(BA$1,'AC4'!$F$1:$AC$109,ROW(),0)*'Management and Hedging'!$G$10</f>
        <v>2.4430960000000002E-2</v>
      </c>
      <c r="BB26" s="92">
        <f>HLOOKUP(BB$1,'AC4'!$F$1:$AC$109,ROW(),0)*'Management and Hedging'!$G$11</f>
        <v>3.3826422691345219E-2</v>
      </c>
      <c r="BC26" s="92">
        <f>IF('Management and Hedging'!$G$13="yes",BA26+BB26,CQ26)</f>
        <v>5.8257382691345221E-2</v>
      </c>
      <c r="BD26" s="138" t="e">
        <f>IF(IF('Management and Hedging'!$J$10="no",BL26,BO26)=0,NA(),IF('Management and Hedging'!$J$10="no",BL26,BO26))</f>
        <v>#N/A</v>
      </c>
      <c r="BE26" s="138" t="e">
        <f>IF(IF('Management and Hedging'!$J$10="no",BM26,BP26)=0,NA(),IF('Management and Hedging'!$J$10="no",BM26,BP26))</f>
        <v>#N/A</v>
      </c>
      <c r="BF26" s="138" t="e">
        <f>IF(IF('Management and Hedging'!$J$10="no",BN26,BQ26)=0,NA(),IF('Management and Hedging'!$J$10="no",BN26,BQ26))</f>
        <v>#N/A</v>
      </c>
      <c r="BG26" s="92">
        <f>IF('Management and Hedging'!$G$13="yes",BH26+BI26,CQ26)</f>
        <v>5.8257382691345221E-2</v>
      </c>
      <c r="BH26" s="92">
        <f>HLOOKUP(BH$1,'Asset Returns'!$F$1:$ZY$109,ROW(),0)*'Management and Hedging'!$G$10</f>
        <v>2.4430960000000002E-2</v>
      </c>
      <c r="BI26" s="92">
        <f>HLOOKUP(BI$1,'Asset Returns'!$F$1:$ZY$109,ROW(),0)*'Management and Hedging'!$G$11</f>
        <v>3.3826422691345219E-2</v>
      </c>
      <c r="BJ26" s="92">
        <f>HLOOKUP(BJ$1,'AC4'!$F$1:$AC$109,ROW(),0)</f>
        <v>0.12215479999999999</v>
      </c>
      <c r="BK26" s="92">
        <f>HLOOKUP(BK$1,'AC4'!$F$1:$AC$109,ROW(),0)</f>
        <v>4.2283028364181519E-2</v>
      </c>
      <c r="BL26" s="138">
        <f ca="1">'Management and Hedging'!$R$34</f>
        <v>2.5919346055080732</v>
      </c>
      <c r="BM26" s="138">
        <f ca="1">'Management and Hedging'!$R$36</f>
        <v>-2.1312105104673718</v>
      </c>
      <c r="BN26" s="138">
        <f>'Management and Hedging'!$R$38</f>
        <v>-1.1865814872722835</v>
      </c>
      <c r="BR26" s="208"/>
      <c r="BS26" s="208"/>
      <c r="BT26" s="208"/>
      <c r="BU26" s="208"/>
      <c r="BV26" s="208"/>
      <c r="BW26" s="208"/>
      <c r="BX26" s="208"/>
      <c r="BY26" s="208"/>
      <c r="BZ26" s="208"/>
      <c r="CA26" s="208"/>
      <c r="CB26" s="208"/>
      <c r="CC26" s="208"/>
      <c r="CD26" s="208"/>
      <c r="CE26" s="208"/>
      <c r="CF26" s="208"/>
      <c r="CG26" s="208"/>
      <c r="CH26" s="208"/>
      <c r="CI26" s="208"/>
      <c r="CJ26" s="208"/>
      <c r="CK26" s="343">
        <f>CK25*(1+BA26+'Risk Factors'!$J26)</f>
        <v>0.20689931860214461</v>
      </c>
      <c r="CL26" s="343">
        <f>CL25*(1+BB26+'Risk Factors'!$J26)</f>
        <v>0.21694861391169082</v>
      </c>
      <c r="CN26" s="343">
        <f t="shared" si="9"/>
        <v>0.48814516417486808</v>
      </c>
      <c r="CO26" s="343">
        <f t="shared" si="12"/>
        <v>0.51185483582513192</v>
      </c>
      <c r="CP26" s="418">
        <f t="shared" si="10"/>
        <v>0.42384793251383546</v>
      </c>
      <c r="CQ26" s="343">
        <f t="shared" si="13"/>
        <v>2.9218638705411637E-2</v>
      </c>
      <c r="CS26" s="92"/>
      <c r="CT26" s="260"/>
      <c r="CU26" s="260"/>
      <c r="CV26" s="260"/>
      <c r="CW26" s="260"/>
      <c r="CX26" s="260"/>
      <c r="CY26" s="260"/>
      <c r="CZ26" s="260"/>
      <c r="DB26" s="331">
        <v>0.7</v>
      </c>
      <c r="DC26" s="183">
        <v>0.3258657213689537</v>
      </c>
      <c r="DD26" s="183">
        <v>0.40598743102957052</v>
      </c>
      <c r="DE26" s="183">
        <v>0.16427923958701562</v>
      </c>
      <c r="DF26" s="183">
        <v>0.40597485588681725</v>
      </c>
      <c r="DG26" s="183"/>
      <c r="DH26" s="260"/>
      <c r="DI26" s="260"/>
    </row>
    <row r="27" spans="6:113">
      <c r="F27" s="421">
        <v>40968</v>
      </c>
      <c r="G27" s="92">
        <f>IF(Portfolios!$G$16="yes",SUM(T27:X27),AX27)</f>
        <v>3.6137435585260391E-2</v>
      </c>
      <c r="H27" s="138" t="e">
        <f>IF(IF(Portfolios!$J$10="no",'AC3'!Y27,'AC3'!AE27)=0,NA(),IF(Portfolios!$J$10="no",Y27,AE27))</f>
        <v>#N/A</v>
      </c>
      <c r="I27" s="138" t="e">
        <f>IF(Portfolios!$J$11="no",NA(),IF(IF(Portfolios!$J$10="no",'AC3'!Z27,'AC3'!AF27)=0,NA(),IF(Portfolios!$J$10="no",Z27,AF27)))</f>
        <v>#N/A</v>
      </c>
      <c r="J27" s="138" t="e">
        <f>IF(Portfolios!$J$11="no",NA(),IF(IF(Portfolios!$J$10="no",'AC3'!AA27,'AC3'!AG27)=0,NA(),IF(Portfolios!$J$10="no",AA27,AG27)))</f>
        <v>#N/A</v>
      </c>
      <c r="K27" s="138" t="e">
        <f>IF(Portfolios!$J$11="no",NA(),IF(IF(Portfolios!$J$10="no",'AC3'!AB27,'AC3'!AH27)=0,NA(),IF(Portfolios!$J$10="no",AB27,AH27)))</f>
        <v>#N/A</v>
      </c>
      <c r="L27" s="138" t="e">
        <f>IF(Portfolios!$J$11="no",NA(),IF(IF(Portfolios!$J$10="no",'AC3'!AC27,'AC3'!AI27)=0,NA(),IF(Portfolios!$J$10="no",AC27,AI27)))</f>
        <v>#N/A</v>
      </c>
      <c r="M27" s="138" t="e">
        <f>IF(Portfolios!$J$11="no",NA(),IF(IF(Portfolios!$J$10="no",'AC3'!AD27,'AC3'!AJ27)=0,NA(),IF(Portfolios!$J$10="no",AD27,AJ27)))</f>
        <v>#N/A</v>
      </c>
      <c r="N27" s="92">
        <f>G27-'Risk Factors'!J27</f>
        <v>3.6137435585260391E-2</v>
      </c>
      <c r="O27" s="260">
        <f>HLOOKUP(O$1,'Asset Returns'!$F$1:$N$109,ROW(),0)-'Risk Factors'!$J27</f>
        <v>6.9683186709880829E-2</v>
      </c>
      <c r="P27" s="260">
        <f>HLOOKUP(P$1,'Asset Returns'!$F$1:$N$109,ROW(),0)-'Risk Factors'!$J27</f>
        <v>0.12145635485649109</v>
      </c>
      <c r="Q27" s="260">
        <f>HLOOKUP(Q$1,'Asset Returns'!$F$1:$N$109,ROW(),0)-'Risk Factors'!$J27</f>
        <v>-8.4963560104370117E-2</v>
      </c>
      <c r="R27" s="260">
        <f>HLOOKUP(R$1,'Asset Returns'!$F$1:$N$109,ROW(),0)-'Risk Factors'!$J27</f>
        <v>0.12476598471403122</v>
      </c>
      <c r="S27" s="260">
        <f>HLOOKUP(S$1,'Asset Returns'!$F$1:$N$109,ROW(),0)-'Risk Factors'!$J27</f>
        <v>2.5413770228624344E-2</v>
      </c>
      <c r="T27" s="260">
        <f>HLOOKUP(T$1,'Asset Returns'!$F$1:$N$109,ROW(),0)*Portfolios!$G$10</f>
        <v>6.9683186709880831E-3</v>
      </c>
      <c r="U27" s="260">
        <f>HLOOKUP(U$1,'Asset Returns'!$F$1:$N$109,ROW(),0)*Portfolios!$G$11</f>
        <v>1.214563548564911E-2</v>
      </c>
      <c r="V27" s="260">
        <f>HLOOKUP(V$1,'Asset Returns'!$F$1:$N$109,ROW(),0)*Portfolios!$G$12</f>
        <v>-2.5489068031311034E-2</v>
      </c>
      <c r="W27" s="260">
        <f>HLOOKUP(W$1,'Asset Returns'!$F$1:$N$109,ROW(),0)*Portfolios!$G$13</f>
        <v>3.7429795414209363E-2</v>
      </c>
      <c r="X27" s="260">
        <f>HLOOKUP(X$1,'Asset Returns'!$F$1:$N$109,ROW(),0)*Portfolios!$G$14</f>
        <v>5.0827540457248676E-3</v>
      </c>
      <c r="Y27" s="138">
        <f>Portfolios!$R$34</f>
        <v>-0.68211369708646341</v>
      </c>
      <c r="Z27" s="138">
        <f>Portfolios!$P$11</f>
        <v>0.9378377404978776</v>
      </c>
      <c r="AA27" s="138">
        <f>Portfolios!$P$12</f>
        <v>0.64097224418739052</v>
      </c>
      <c r="AB27" s="138">
        <f>Portfolios!$P$13</f>
        <v>-2.1312105104673718</v>
      </c>
      <c r="AC27" s="138">
        <f>Portfolios!$P$14</f>
        <v>-0.78557102570241866</v>
      </c>
      <c r="AD27" s="138">
        <f>Portfolios!$P$15</f>
        <v>0.17519882647973573</v>
      </c>
      <c r="AL27" s="343">
        <f>AL26*(1+O27+'Risk Factors'!$J27)</f>
        <v>8.6401200219894767E-2</v>
      </c>
      <c r="AM27" s="343">
        <f>AM26*(1+P27+'Risk Factors'!$J27)</f>
        <v>0.16817737161847196</v>
      </c>
      <c r="AN27" s="343">
        <f>AN26*(1+Q27+'Risk Factors'!$J27)</f>
        <v>5.0458943698299334E-2</v>
      </c>
      <c r="AO27" s="343">
        <f>AO26*(1+R27+'Risk Factors'!$J27)</f>
        <v>0.3069433362286198</v>
      </c>
      <c r="AP27" s="343">
        <f>AP26*(1+S27+'Risk Factors'!$J27)</f>
        <v>0.3123726958415079</v>
      </c>
      <c r="AR27" s="343">
        <f t="shared" si="3"/>
        <v>9.3472027498128413E-2</v>
      </c>
      <c r="AS27" s="343">
        <f t="shared" si="4"/>
        <v>0.18194052703523797</v>
      </c>
      <c r="AT27" s="343">
        <f t="shared" si="5"/>
        <v>5.4588359431237694E-2</v>
      </c>
      <c r="AU27" s="343">
        <f t="shared" si="6"/>
        <v>0.33206270157486206</v>
      </c>
      <c r="AV27" s="343">
        <f t="shared" si="7"/>
        <v>0.33793638446053392</v>
      </c>
      <c r="AW27" s="418">
        <f t="shared" si="8"/>
        <v>0.92435354760679367</v>
      </c>
      <c r="AX27" s="343">
        <f t="shared" si="11"/>
        <v>7.058914917014314E-2</v>
      </c>
      <c r="AZ27" s="421">
        <v>40968</v>
      </c>
      <c r="BA27" s="92">
        <f>HLOOKUP(BA$1,'AC4'!$F$1:$AC$109,ROW(),0)*'Management and Hedging'!$G$10</f>
        <v>-1.21704E-3</v>
      </c>
      <c r="BB27" s="92">
        <f>HLOOKUP(BB$1,'AC4'!$F$1:$AC$109,ROW(),0)*'Management and Hedging'!$G$11</f>
        <v>-6.7970848083496099E-2</v>
      </c>
      <c r="BC27" s="92">
        <f>IF('Management and Hedging'!$G$13="yes",BA27+BB27,CQ27)</f>
        <v>-6.9187888083496102E-2</v>
      </c>
      <c r="BD27" s="138" t="e">
        <f>IF(IF('Management and Hedging'!$J$10="no",BL27,BO27)=0,NA(),IF('Management and Hedging'!$J$10="no",BL27,BO27))</f>
        <v>#N/A</v>
      </c>
      <c r="BE27" s="138" t="e">
        <f>IF(IF('Management and Hedging'!$J$10="no",BM27,BP27)=0,NA(),IF('Management and Hedging'!$J$10="no",BM27,BP27))</f>
        <v>#N/A</v>
      </c>
      <c r="BF27" s="138" t="e">
        <f>IF(IF('Management and Hedging'!$J$10="no",BN27,BQ27)=0,NA(),IF('Management and Hedging'!$J$10="no",BN27,BQ27))</f>
        <v>#N/A</v>
      </c>
      <c r="BG27" s="92">
        <f>IF('Management and Hedging'!$G$13="yes",BH27+BI27,CQ27)</f>
        <v>-6.9187888083496102E-2</v>
      </c>
      <c r="BH27" s="92">
        <f>HLOOKUP(BH$1,'Asset Returns'!$F$1:$ZY$109,ROW(),0)*'Management and Hedging'!$G$10</f>
        <v>-1.21704E-3</v>
      </c>
      <c r="BI27" s="92">
        <f>HLOOKUP(BI$1,'Asset Returns'!$F$1:$ZY$109,ROW(),0)*'Management and Hedging'!$G$11</f>
        <v>-6.7970848083496099E-2</v>
      </c>
      <c r="BJ27" s="92">
        <f>HLOOKUP(BJ$1,'AC4'!$F$1:$AC$109,ROW(),0)</f>
        <v>-6.0851999999999998E-3</v>
      </c>
      <c r="BK27" s="92">
        <f>HLOOKUP(BK$1,'AC4'!$F$1:$AC$109,ROW(),0)</f>
        <v>-8.4963560104370117E-2</v>
      </c>
      <c r="BL27" s="138">
        <f ca="1">'Management and Hedging'!$R$34</f>
        <v>2.5919346055080732</v>
      </c>
      <c r="BM27" s="138">
        <f ca="1">'Management and Hedging'!$R$36</f>
        <v>-2.1312105104673718</v>
      </c>
      <c r="BN27" s="138">
        <f>'Management and Hedging'!$R$38</f>
        <v>-1.1865814872722835</v>
      </c>
      <c r="BR27" s="208"/>
      <c r="BS27" s="208"/>
      <c r="BT27" s="208"/>
      <c r="BU27" s="208"/>
      <c r="BV27" s="208"/>
      <c r="BW27" s="208"/>
      <c r="BX27" s="208"/>
      <c r="BY27" s="208"/>
      <c r="BZ27" s="208"/>
      <c r="CA27" s="208"/>
      <c r="CB27" s="208"/>
      <c r="CC27" s="208"/>
      <c r="CD27" s="208"/>
      <c r="CE27" s="208"/>
      <c r="CF27" s="208"/>
      <c r="CG27" s="208"/>
      <c r="CH27" s="208"/>
      <c r="CI27" s="208"/>
      <c r="CJ27" s="208"/>
      <c r="CK27" s="343">
        <f>CK26*(1+BA27+'Risk Factors'!$J27)</f>
        <v>0.20664751385543306</v>
      </c>
      <c r="CL27" s="343">
        <f>CL26*(1+BB27+'Risk Factors'!$J27)</f>
        <v>0.20220243263357424</v>
      </c>
      <c r="CN27" s="343">
        <f t="shared" si="9"/>
        <v>0.50543607900652909</v>
      </c>
      <c r="CO27" s="343">
        <f t="shared" si="12"/>
        <v>0.49456392099347096</v>
      </c>
      <c r="CP27" s="418">
        <f t="shared" si="10"/>
        <v>0.4088499464890073</v>
      </c>
      <c r="CQ27" s="343">
        <f t="shared" si="13"/>
        <v>-3.5385299477280308E-2</v>
      </c>
      <c r="CS27" s="92"/>
      <c r="CT27" s="260"/>
      <c r="CU27" s="260"/>
      <c r="CV27" s="260"/>
      <c r="CW27" s="260"/>
      <c r="CX27" s="260"/>
      <c r="CY27" s="260"/>
      <c r="CZ27" s="260"/>
      <c r="DB27" s="331">
        <v>0.8</v>
      </c>
      <c r="DC27" s="183">
        <v>0.23401430337905349</v>
      </c>
      <c r="DD27" s="183">
        <v>0.41188188304740897</v>
      </c>
      <c r="DE27" s="183">
        <v>0.16403032543857859</v>
      </c>
      <c r="DF27" s="183">
        <v>0.40076847524909726</v>
      </c>
      <c r="DG27" s="183"/>
      <c r="DH27" s="260"/>
      <c r="DI27" s="260"/>
    </row>
    <row r="28" spans="6:113">
      <c r="F28" s="421">
        <v>40999</v>
      </c>
      <c r="G28" s="92">
        <f>IF(Portfolios!$G$16="yes",SUM(T28:X28),AX28)</f>
        <v>1.4655289426445957E-2</v>
      </c>
      <c r="H28" s="138" t="e">
        <f>IF(IF(Portfolios!$J$10="no",'AC3'!Y28,'AC3'!AE28)=0,NA(),IF(Portfolios!$J$10="no",Y28,AE28))</f>
        <v>#N/A</v>
      </c>
      <c r="I28" s="138" t="e">
        <f>IF(Portfolios!$J$11="no",NA(),IF(IF(Portfolios!$J$10="no",'AC3'!Z28,'AC3'!AF28)=0,NA(),IF(Portfolios!$J$10="no",Z28,AF28)))</f>
        <v>#N/A</v>
      </c>
      <c r="J28" s="138" t="e">
        <f>IF(Portfolios!$J$11="no",NA(),IF(IF(Portfolios!$J$10="no",'AC3'!AA28,'AC3'!AG28)=0,NA(),IF(Portfolios!$J$10="no",AA28,AG28)))</f>
        <v>#N/A</v>
      </c>
      <c r="K28" s="138" t="e">
        <f>IF(Portfolios!$J$11="no",NA(),IF(IF(Portfolios!$J$10="no",'AC3'!AB28,'AC3'!AH28)=0,NA(),IF(Portfolios!$J$10="no",AB28,AH28)))</f>
        <v>#N/A</v>
      </c>
      <c r="L28" s="138" t="e">
        <f>IF(Portfolios!$J$11="no",NA(),IF(IF(Portfolios!$J$10="no",'AC3'!AC28,'AC3'!AI28)=0,NA(),IF(Portfolios!$J$10="no",AC28,AI28)))</f>
        <v>#N/A</v>
      </c>
      <c r="M28" s="138" t="e">
        <f>IF(Portfolios!$J$11="no",NA(),IF(IF(Portfolios!$J$10="no",'AC3'!AD28,'AC3'!AJ28)=0,NA(),IF(Portfolios!$J$10="no",AD28,AJ28)))</f>
        <v>#N/A</v>
      </c>
      <c r="N28" s="92">
        <f>G28-'Risk Factors'!J28</f>
        <v>1.4655289426445957E-2</v>
      </c>
      <c r="O28" s="260">
        <f>HLOOKUP(O$1,'Asset Returns'!$F$1:$N$109,ROW(),0)-'Risk Factors'!$J28</f>
        <v>-6.0441341251134872E-2</v>
      </c>
      <c r="P28" s="260">
        <f>HLOOKUP(P$1,'Asset Returns'!$F$1:$N$109,ROW(),0)-'Risk Factors'!$J28</f>
        <v>-2.2715561091899872E-2</v>
      </c>
      <c r="Q28" s="260">
        <f>HLOOKUP(Q$1,'Asset Returns'!$F$1:$N$109,ROW(),0)-'Risk Factors'!$J28</f>
        <v>-1.9020471721887589E-2</v>
      </c>
      <c r="R28" s="260">
        <f>HLOOKUP(R$1,'Asset Returns'!$F$1:$N$109,ROW(),0)-'Risk Factors'!$J28</f>
        <v>5.5196631699800491E-2</v>
      </c>
      <c r="S28" s="260">
        <f>HLOOKUP(S$1,'Asset Returns'!$F$1:$N$109,ROW(),0)-'Risk Factors'!$J28</f>
        <v>6.0590658336877823E-2</v>
      </c>
      <c r="T28" s="260">
        <f>HLOOKUP(T$1,'Asset Returns'!$F$1:$N$109,ROW(),0)*Portfolios!$G$10</f>
        <v>-6.0441341251134878E-3</v>
      </c>
      <c r="U28" s="260">
        <f>HLOOKUP(U$1,'Asset Returns'!$F$1:$N$109,ROW(),0)*Portfolios!$G$11</f>
        <v>-2.2715561091899874E-3</v>
      </c>
      <c r="V28" s="260">
        <f>HLOOKUP(V$1,'Asset Returns'!$F$1:$N$109,ROW(),0)*Portfolios!$G$12</f>
        <v>-5.7061415165662764E-3</v>
      </c>
      <c r="W28" s="260">
        <f>HLOOKUP(W$1,'Asset Returns'!$F$1:$N$109,ROW(),0)*Portfolios!$G$13</f>
        <v>1.6558989509940145E-2</v>
      </c>
      <c r="X28" s="260">
        <f>HLOOKUP(X$1,'Asset Returns'!$F$1:$N$109,ROW(),0)*Portfolios!$G$14</f>
        <v>1.2118131667375562E-2</v>
      </c>
      <c r="Y28" s="138">
        <f>Portfolios!$R$34</f>
        <v>-0.68211369708646341</v>
      </c>
      <c r="Z28" s="138">
        <f>Portfolios!$P$11</f>
        <v>0.9378377404978776</v>
      </c>
      <c r="AA28" s="138">
        <f>Portfolios!$P$12</f>
        <v>0.64097224418739052</v>
      </c>
      <c r="AB28" s="138">
        <f>Portfolios!$P$13</f>
        <v>-2.1312105104673718</v>
      </c>
      <c r="AC28" s="138">
        <f>Portfolios!$P$14</f>
        <v>-0.78557102570241866</v>
      </c>
      <c r="AD28" s="138">
        <f>Portfolios!$P$15</f>
        <v>0.17519882647973573</v>
      </c>
      <c r="AL28" s="343">
        <f>AL27*(1+O28+'Risk Factors'!$J28)</f>
        <v>8.1178995792896474E-2</v>
      </c>
      <c r="AM28" s="343">
        <f>AM27*(1+P28+'Risk Factors'!$J28)</f>
        <v>0.1643571282591974</v>
      </c>
      <c r="AN28" s="343">
        <f>AN27*(1+Q28+'Risk Factors'!$J28)</f>
        <v>4.9499190786569516E-2</v>
      </c>
      <c r="AO28" s="343">
        <f>AO27*(1+R28+'Risk Factors'!$J28)</f>
        <v>0.32388557451113897</v>
      </c>
      <c r="AP28" s="343">
        <f>AP27*(1+S28+'Risk Factors'!$J28)</f>
        <v>0.33129956312901016</v>
      </c>
      <c r="AR28" s="343">
        <f t="shared" si="3"/>
        <v>8.5431749633600479E-2</v>
      </c>
      <c r="AS28" s="343">
        <f t="shared" si="4"/>
        <v>0.17296736544708519</v>
      </c>
      <c r="AT28" s="343">
        <f t="shared" si="5"/>
        <v>5.2092323057709833E-2</v>
      </c>
      <c r="AU28" s="343">
        <f t="shared" si="6"/>
        <v>0.34085308695074717</v>
      </c>
      <c r="AV28" s="343">
        <f t="shared" si="7"/>
        <v>0.34865547491085735</v>
      </c>
      <c r="AW28" s="418">
        <f t="shared" si="8"/>
        <v>0.95022045247881248</v>
      </c>
      <c r="AX28" s="343">
        <f t="shared" si="11"/>
        <v>2.7983778435199058E-2</v>
      </c>
      <c r="AZ28" s="421">
        <v>40999</v>
      </c>
      <c r="BA28" s="92">
        <f>HLOOKUP(BA$1,'AC4'!$F$1:$AC$109,ROW(),0)*'Management and Hedging'!$G$10</f>
        <v>-1.9591840000000003E-2</v>
      </c>
      <c r="BB28" s="92">
        <f>HLOOKUP(BB$1,'AC4'!$F$1:$AC$109,ROW(),0)*'Management and Hedging'!$G$11</f>
        <v>-1.5216377377510071E-2</v>
      </c>
      <c r="BC28" s="92">
        <f>IF('Management and Hedging'!$G$13="yes",BA28+BB28,CQ28)</f>
        <v>-3.4808217377510074E-2</v>
      </c>
      <c r="BD28" s="138" t="e">
        <f>IF(IF('Management and Hedging'!$J$10="no",BL28,BO28)=0,NA(),IF('Management and Hedging'!$J$10="no",BL28,BO28))</f>
        <v>#N/A</v>
      </c>
      <c r="BE28" s="138" t="e">
        <f>IF(IF('Management and Hedging'!$J$10="no",BM28,BP28)=0,NA(),IF('Management and Hedging'!$J$10="no",BM28,BP28))</f>
        <v>#N/A</v>
      </c>
      <c r="BF28" s="138" t="e">
        <f>IF(IF('Management and Hedging'!$J$10="no",BN28,BQ28)=0,NA(),IF('Management and Hedging'!$J$10="no",BN28,BQ28))</f>
        <v>#N/A</v>
      </c>
      <c r="BG28" s="92">
        <f>IF('Management and Hedging'!$G$13="yes",BH28+BI28,CQ28)</f>
        <v>-3.4808217377510074E-2</v>
      </c>
      <c r="BH28" s="92">
        <f>HLOOKUP(BH$1,'Asset Returns'!$F$1:$ZY$109,ROW(),0)*'Management and Hedging'!$G$10</f>
        <v>-1.9591840000000003E-2</v>
      </c>
      <c r="BI28" s="92">
        <f>HLOOKUP(BI$1,'Asset Returns'!$F$1:$ZY$109,ROW(),0)*'Management and Hedging'!$G$11</f>
        <v>-1.5216377377510071E-2</v>
      </c>
      <c r="BJ28" s="92">
        <f>HLOOKUP(BJ$1,'AC4'!$F$1:$AC$109,ROW(),0)</f>
        <v>-9.795920000000001E-2</v>
      </c>
      <c r="BK28" s="92">
        <f>HLOOKUP(BK$1,'AC4'!$F$1:$AC$109,ROW(),0)</f>
        <v>-1.9020471721887589E-2</v>
      </c>
      <c r="BL28" s="138">
        <f ca="1">'Management and Hedging'!$R$34</f>
        <v>2.5919346055080732</v>
      </c>
      <c r="BM28" s="138">
        <f ca="1">'Management and Hedging'!$R$36</f>
        <v>-2.1312105104673718</v>
      </c>
      <c r="BN28" s="138">
        <f>'Management and Hedging'!$R$38</f>
        <v>-1.1865814872722835</v>
      </c>
      <c r="BR28" s="208"/>
      <c r="BS28" s="208"/>
      <c r="BT28" s="208"/>
      <c r="BU28" s="208"/>
      <c r="BV28" s="208"/>
      <c r="BW28" s="208"/>
      <c r="BX28" s="208"/>
      <c r="BY28" s="208"/>
      <c r="BZ28" s="208"/>
      <c r="CA28" s="208"/>
      <c r="CB28" s="208"/>
      <c r="CC28" s="208"/>
      <c r="CD28" s="208"/>
      <c r="CE28" s="208"/>
      <c r="CF28" s="208"/>
      <c r="CG28" s="208"/>
      <c r="CH28" s="208"/>
      <c r="CI28" s="208"/>
      <c r="CJ28" s="208"/>
      <c r="CK28" s="343">
        <f>CK27*(1+BA28+'Risk Factors'!$J28)</f>
        <v>0.20259890882757964</v>
      </c>
      <c r="CL28" s="343">
        <f>CL27*(1+BB28+'Risk Factors'!$J28)</f>
        <v>0.19912564411197123</v>
      </c>
      <c r="CN28" s="343">
        <f t="shared" si="9"/>
        <v>0.50432294303421754</v>
      </c>
      <c r="CO28" s="343">
        <f t="shared" si="12"/>
        <v>0.4956770569657824</v>
      </c>
      <c r="CP28" s="418">
        <f t="shared" si="10"/>
        <v>0.40172455293955089</v>
      </c>
      <c r="CQ28" s="343">
        <f t="shared" si="13"/>
        <v>-1.7427894049260928E-2</v>
      </c>
      <c r="CS28" s="92"/>
      <c r="CT28" s="260"/>
      <c r="CU28" s="260"/>
      <c r="CV28" s="260"/>
      <c r="CW28" s="260"/>
      <c r="CX28" s="260"/>
      <c r="CY28" s="260"/>
      <c r="CZ28" s="260"/>
      <c r="DB28" s="331">
        <v>0.9</v>
      </c>
      <c r="DC28" s="183">
        <v>0.13640394263623298</v>
      </c>
      <c r="DD28" s="183">
        <v>0.41396327020183776</v>
      </c>
      <c r="DE28" s="183">
        <v>0.16415471204283771</v>
      </c>
      <c r="DF28" s="183">
        <v>0.39891812968129747</v>
      </c>
      <c r="DG28" s="183"/>
      <c r="DH28" s="260"/>
      <c r="DI28" s="260"/>
    </row>
    <row r="29" spans="6:113">
      <c r="F29" s="421">
        <v>41029</v>
      </c>
      <c r="G29" s="92">
        <f>IF(Portfolios!$G$16="yes",SUM(T29:X29),AX29)</f>
        <v>-4.4939436763525006E-2</v>
      </c>
      <c r="H29" s="138" t="e">
        <f>IF(IF(Portfolios!$J$10="no",'AC3'!Y29,'AC3'!AE29)=0,NA(),IF(Portfolios!$J$10="no",Y29,AE29))</f>
        <v>#N/A</v>
      </c>
      <c r="I29" s="138" t="e">
        <f>IF(Portfolios!$J$11="no",NA(),IF(IF(Portfolios!$J$10="no",'AC3'!Z29,'AC3'!AF29)=0,NA(),IF(Portfolios!$J$10="no",Z29,AF29)))</f>
        <v>#N/A</v>
      </c>
      <c r="J29" s="138" t="e">
        <f>IF(Portfolios!$J$11="no",NA(),IF(IF(Portfolios!$J$10="no",'AC3'!AA29,'AC3'!AG29)=0,NA(),IF(Portfolios!$J$10="no",AA29,AG29)))</f>
        <v>#N/A</v>
      </c>
      <c r="K29" s="138" t="e">
        <f>IF(Portfolios!$J$11="no",NA(),IF(IF(Portfolios!$J$10="no",'AC3'!AB29,'AC3'!AH29)=0,NA(),IF(Portfolios!$J$10="no",AB29,AH29)))</f>
        <v>#N/A</v>
      </c>
      <c r="L29" s="138" t="e">
        <f>IF(Portfolios!$J$11="no",NA(),IF(IF(Portfolios!$J$10="no",'AC3'!AC29,'AC3'!AI29)=0,NA(),IF(Portfolios!$J$10="no",AC29,AI29)))</f>
        <v>#N/A</v>
      </c>
      <c r="M29" s="138" t="e">
        <f>IF(Portfolios!$J$11="no",NA(),IF(IF(Portfolios!$J$10="no",'AC3'!AD29,'AC3'!AJ29)=0,NA(),IF(Portfolios!$J$10="no",AD29,AJ29)))</f>
        <v>#N/A</v>
      </c>
      <c r="N29" s="92">
        <f>G29-'Risk Factors'!J29</f>
        <v>-4.4939436763525006E-2</v>
      </c>
      <c r="O29" s="260">
        <f>HLOOKUP(O$1,'Asset Returns'!$F$1:$N$109,ROW(),0)-'Risk Factors'!$J29</f>
        <v>-2.2225718945264816E-2</v>
      </c>
      <c r="P29" s="260">
        <f>HLOOKUP(P$1,'Asset Returns'!$F$1:$N$109,ROW(),0)-'Risk Factors'!$J29</f>
        <v>0.11174681037664413</v>
      </c>
      <c r="Q29" s="260">
        <f>HLOOKUP(Q$1,'Asset Returns'!$F$1:$N$109,ROW(),0)-'Risk Factors'!$J29</f>
        <v>-0.12880215048789978</v>
      </c>
      <c r="R29" s="260">
        <f>HLOOKUP(R$1,'Asset Returns'!$F$1:$N$109,ROW(),0)-'Risk Factors'!$J29</f>
        <v>-4.5819956809282303E-2</v>
      </c>
      <c r="S29" s="260">
        <f>HLOOKUP(S$1,'Asset Returns'!$F$1:$N$109,ROW(),0)-'Risk Factors'!$J29</f>
        <v>-7.5245685875415802E-3</v>
      </c>
      <c r="T29" s="260">
        <f>HLOOKUP(T$1,'Asset Returns'!$F$1:$N$109,ROW(),0)*Portfolios!$G$10</f>
        <v>-2.2225718945264815E-3</v>
      </c>
      <c r="U29" s="260">
        <f>HLOOKUP(U$1,'Asset Returns'!$F$1:$N$109,ROW(),0)*Portfolios!$G$11</f>
        <v>1.1174681037664414E-2</v>
      </c>
      <c r="V29" s="260">
        <f>HLOOKUP(V$1,'Asset Returns'!$F$1:$N$109,ROW(),0)*Portfolios!$G$12</f>
        <v>-3.8640645146369931E-2</v>
      </c>
      <c r="W29" s="260">
        <f>HLOOKUP(W$1,'Asset Returns'!$F$1:$N$109,ROW(),0)*Portfolios!$G$13</f>
        <v>-1.374598704278469E-2</v>
      </c>
      <c r="X29" s="260">
        <f>HLOOKUP(X$1,'Asset Returns'!$F$1:$N$109,ROW(),0)*Portfolios!$G$14</f>
        <v>-1.5049137175083156E-3</v>
      </c>
      <c r="Y29" s="138">
        <f>Portfolios!$R$34</f>
        <v>-0.68211369708646341</v>
      </c>
      <c r="Z29" s="138">
        <f>Portfolios!$P$11</f>
        <v>0.9378377404978776</v>
      </c>
      <c r="AA29" s="138">
        <f>Portfolios!$P$12</f>
        <v>0.64097224418739052</v>
      </c>
      <c r="AB29" s="138">
        <f>Portfolios!$P$13</f>
        <v>-2.1312105104673718</v>
      </c>
      <c r="AC29" s="138">
        <f>Portfolios!$P$14</f>
        <v>-0.78557102570241866</v>
      </c>
      <c r="AD29" s="138">
        <f>Portfolios!$P$15</f>
        <v>0.17519882647973573</v>
      </c>
      <c r="AL29" s="343">
        <f>AL28*(1+O29+'Risk Factors'!$J29)</f>
        <v>7.9374734248144729E-2</v>
      </c>
      <c r="AM29" s="343">
        <f>AM28*(1+P29+'Risk Factors'!$J29)</f>
        <v>0.18272351310482771</v>
      </c>
      <c r="AN29" s="343">
        <f>AN28*(1+Q29+'Risk Factors'!$J29)</f>
        <v>4.3123588565848525E-2</v>
      </c>
      <c r="AO29" s="343">
        <f>AO28*(1+R29+'Risk Factors'!$J29)</f>
        <v>0.30904515147588901</v>
      </c>
      <c r="AP29" s="343">
        <f>AP28*(1+S29+'Risk Factors'!$J29)</f>
        <v>0.32880667684322334</v>
      </c>
      <c r="AR29" s="343">
        <f t="shared" si="3"/>
        <v>8.4165995995959475E-2</v>
      </c>
      <c r="AS29" s="343">
        <f t="shared" si="4"/>
        <v>0.19375317118252955</v>
      </c>
      <c r="AT29" s="343">
        <f t="shared" si="5"/>
        <v>4.5726638544927742E-2</v>
      </c>
      <c r="AU29" s="343">
        <f t="shared" si="6"/>
        <v>0.32769990637541363</v>
      </c>
      <c r="AV29" s="343">
        <f t="shared" si="7"/>
        <v>0.34865428790116959</v>
      </c>
      <c r="AW29" s="418">
        <f t="shared" si="8"/>
        <v>0.94307366423793337</v>
      </c>
      <c r="AX29" s="343">
        <f t="shared" si="11"/>
        <v>-7.5211896589212346E-3</v>
      </c>
      <c r="AZ29" s="421">
        <v>41029</v>
      </c>
      <c r="BA29" s="92">
        <f>HLOOKUP(BA$1,'AC4'!$F$1:$AC$109,ROW(),0)*'Management and Hedging'!$G$10</f>
        <v>-1.161388E-2</v>
      </c>
      <c r="BB29" s="92">
        <f>HLOOKUP(BB$1,'AC4'!$F$1:$AC$109,ROW(),0)*'Management and Hedging'!$G$11</f>
        <v>-0.10304172039031984</v>
      </c>
      <c r="BC29" s="92">
        <f>IF('Management and Hedging'!$G$13="yes",BA29+BB29,CQ29)</f>
        <v>-0.11465560039031983</v>
      </c>
      <c r="BD29" s="138" t="e">
        <f>IF(IF('Management and Hedging'!$J$10="no",BL29,BO29)=0,NA(),IF('Management and Hedging'!$J$10="no",BL29,BO29))</f>
        <v>#N/A</v>
      </c>
      <c r="BE29" s="138" t="e">
        <f>IF(IF('Management and Hedging'!$J$10="no",BM29,BP29)=0,NA(),IF('Management and Hedging'!$J$10="no",BM29,BP29))</f>
        <v>#N/A</v>
      </c>
      <c r="BF29" s="138" t="e">
        <f>IF(IF('Management and Hedging'!$J$10="no",BN29,BQ29)=0,NA(),IF('Management and Hedging'!$J$10="no",BN29,BQ29))</f>
        <v>#N/A</v>
      </c>
      <c r="BG29" s="92">
        <f>IF('Management and Hedging'!$G$13="yes",BH29+BI29,CQ29)</f>
        <v>-0.11465560039031983</v>
      </c>
      <c r="BH29" s="92">
        <f>HLOOKUP(BH$1,'Asset Returns'!$F$1:$ZY$109,ROW(),0)*'Management and Hedging'!$G$10</f>
        <v>-1.161388E-2</v>
      </c>
      <c r="BI29" s="92">
        <f>HLOOKUP(BI$1,'Asset Returns'!$F$1:$ZY$109,ROW(),0)*'Management and Hedging'!$G$11</f>
        <v>-0.10304172039031984</v>
      </c>
      <c r="BJ29" s="92">
        <f>HLOOKUP(BJ$1,'AC4'!$F$1:$AC$109,ROW(),0)</f>
        <v>-5.80694E-2</v>
      </c>
      <c r="BK29" s="92">
        <f>HLOOKUP(BK$1,'AC4'!$F$1:$AC$109,ROW(),0)</f>
        <v>-0.12880215048789978</v>
      </c>
      <c r="BL29" s="138">
        <f ca="1">'Management and Hedging'!$R$34</f>
        <v>2.5919346055080732</v>
      </c>
      <c r="BM29" s="138">
        <f ca="1">'Management and Hedging'!$R$36</f>
        <v>-2.1312105104673718</v>
      </c>
      <c r="BN29" s="138">
        <f>'Management and Hedging'!$R$38</f>
        <v>-1.1865814872722835</v>
      </c>
      <c r="BR29" s="208"/>
      <c r="BS29" s="208"/>
      <c r="BT29" s="208"/>
      <c r="BU29" s="208"/>
      <c r="BV29" s="208"/>
      <c r="BW29" s="208"/>
      <c r="BX29" s="208"/>
      <c r="BY29" s="208"/>
      <c r="BZ29" s="208"/>
      <c r="CA29" s="208"/>
      <c r="CB29" s="208"/>
      <c r="CC29" s="208"/>
      <c r="CD29" s="208"/>
      <c r="CE29" s="208"/>
      <c r="CF29" s="208"/>
      <c r="CG29" s="208"/>
      <c r="CH29" s="208"/>
      <c r="CI29" s="208"/>
      <c r="CJ29" s="208"/>
      <c r="CK29" s="343">
        <f>CK28*(1+BA29+'Risk Factors'!$J29)</f>
        <v>0.20024594941232521</v>
      </c>
      <c r="CL29" s="343">
        <f>CL28*(1+BB29+'Risk Factors'!$J29)</f>
        <v>0.17860739516884316</v>
      </c>
      <c r="CN29" s="343">
        <f t="shared" si="9"/>
        <v>0.528557955938602</v>
      </c>
      <c r="CO29" s="343">
        <f t="shared" si="12"/>
        <v>0.47144204406139795</v>
      </c>
      <c r="CP29" s="418">
        <f t="shared" si="10"/>
        <v>0.37885334458116837</v>
      </c>
      <c r="CQ29" s="343">
        <f t="shared" si="13"/>
        <v>-5.6932562849411061E-2</v>
      </c>
      <c r="CS29" s="92"/>
      <c r="CT29" s="260"/>
      <c r="CU29" s="260"/>
      <c r="CV29" s="260"/>
      <c r="CW29" s="260"/>
      <c r="CX29" s="260"/>
      <c r="CY29" s="260"/>
      <c r="CZ29" s="260"/>
      <c r="DB29" s="325"/>
      <c r="DC29" s="183"/>
      <c r="DD29" s="183"/>
      <c r="DE29" s="183"/>
      <c r="DF29" s="183"/>
      <c r="DG29" s="183"/>
      <c r="DH29" s="260"/>
      <c r="DI29" s="260"/>
    </row>
    <row r="30" spans="6:113">
      <c r="F30" s="421">
        <v>41060</v>
      </c>
      <c r="G30" s="92">
        <f>IF(Portfolios!$G$16="yes",SUM(T30:X30),AX30)</f>
        <v>-0.16975550428032873</v>
      </c>
      <c r="H30" s="138" t="e">
        <f>IF(IF(Portfolios!$J$10="no",'AC3'!Y30,'AC3'!AE30)=0,NA(),IF(Portfolios!$J$10="no",Y30,AE30))</f>
        <v>#N/A</v>
      </c>
      <c r="I30" s="138" t="e">
        <f>IF(Portfolios!$J$11="no",NA(),IF(IF(Portfolios!$J$10="no",'AC3'!Z30,'AC3'!AF30)=0,NA(),IF(Portfolios!$J$10="no",Z30,AF30)))</f>
        <v>#N/A</v>
      </c>
      <c r="J30" s="138" t="e">
        <f>IF(Portfolios!$J$11="no",NA(),IF(IF(Portfolios!$J$10="no",'AC3'!AA30,'AC3'!AG30)=0,NA(),IF(Portfolios!$J$10="no",AA30,AG30)))</f>
        <v>#N/A</v>
      </c>
      <c r="K30" s="138" t="e">
        <f>IF(Portfolios!$J$11="no",NA(),IF(IF(Portfolios!$J$10="no",'AC3'!AB30,'AC3'!AH30)=0,NA(),IF(Portfolios!$J$10="no",AB30,AH30)))</f>
        <v>#N/A</v>
      </c>
      <c r="L30" s="138" t="e">
        <f>IF(Portfolios!$J$11="no",NA(),IF(IF(Portfolios!$J$10="no",'AC3'!AC30,'AC3'!AI30)=0,NA(),IF(Portfolios!$J$10="no",AC30,AI30)))</f>
        <v>#N/A</v>
      </c>
      <c r="M30" s="138" t="e">
        <f>IF(Portfolios!$J$11="no",NA(),IF(IF(Portfolios!$J$10="no",'AC3'!AD30,'AC3'!AJ30)=0,NA(),IF(Portfolios!$J$10="no",AD30,AJ30)))</f>
        <v>#N/A</v>
      </c>
      <c r="N30" s="92">
        <f>G30-'Risk Factors'!J30</f>
        <v>-0.16985550428032872</v>
      </c>
      <c r="O30" s="260">
        <f>HLOOKUP(O$1,'Asset Returns'!$F$1:$N$109,ROW(),0)-'Risk Factors'!$J30</f>
        <v>-0.14835321733951568</v>
      </c>
      <c r="P30" s="260">
        <f>HLOOKUP(P$1,'Asset Returns'!$F$1:$N$109,ROW(),0)-'Risk Factors'!$J30</f>
        <v>-0.30945710668563842</v>
      </c>
      <c r="Q30" s="260">
        <f>HLOOKUP(Q$1,'Asset Returns'!$F$1:$N$109,ROW(),0)-'Risk Factors'!$J30</f>
        <v>-0.30681167373657225</v>
      </c>
      <c r="R30" s="260">
        <f>HLOOKUP(R$1,'Asset Returns'!$F$1:$N$109,ROW(),0)-'Risk Factors'!$J30</f>
        <v>-6.3605865633487704E-2</v>
      </c>
      <c r="S30" s="260">
        <f>HLOOKUP(S$1,'Asset Returns'!$F$1:$N$109,ROW(),0)-'Risk Factors'!$J30</f>
        <v>-6.4746050333976748E-2</v>
      </c>
      <c r="T30" s="260">
        <f>HLOOKUP(T$1,'Asset Returns'!$F$1:$N$109,ROW(),0)*Portfolios!$G$10</f>
        <v>-1.4825321733951569E-2</v>
      </c>
      <c r="U30" s="260">
        <f>HLOOKUP(U$1,'Asset Returns'!$F$1:$N$109,ROW(),0)*Portfolios!$G$11</f>
        <v>-3.0935710668563845E-2</v>
      </c>
      <c r="V30" s="260">
        <f>HLOOKUP(V$1,'Asset Returns'!$F$1:$N$109,ROW(),0)*Portfolios!$G$12</f>
        <v>-9.2013502120971674E-2</v>
      </c>
      <c r="W30" s="260">
        <f>HLOOKUP(W$1,'Asset Returns'!$F$1:$N$109,ROW(),0)*Portfolios!$G$13</f>
        <v>-1.905175969004631E-2</v>
      </c>
      <c r="X30" s="260">
        <f>HLOOKUP(X$1,'Asset Returns'!$F$1:$N$109,ROW(),0)*Portfolios!$G$14</f>
        <v>-1.2929210066795347E-2</v>
      </c>
      <c r="Y30" s="138">
        <f>Portfolios!$R$34</f>
        <v>-0.68211369708646341</v>
      </c>
      <c r="Z30" s="138">
        <f>Portfolios!$P$11</f>
        <v>0.9378377404978776</v>
      </c>
      <c r="AA30" s="138">
        <f>Portfolios!$P$12</f>
        <v>0.64097224418739052</v>
      </c>
      <c r="AB30" s="138">
        <f>Portfolios!$P$13</f>
        <v>-2.1312105104673718</v>
      </c>
      <c r="AC30" s="138">
        <f>Portfolios!$P$14</f>
        <v>-0.78557102570241866</v>
      </c>
      <c r="AD30" s="138">
        <f>Portfolios!$P$15</f>
        <v>0.17519882647973573</v>
      </c>
      <c r="AL30" s="343">
        <f>AL29*(1+O30+'Risk Factors'!$J30)</f>
        <v>6.7607174520388225E-2</v>
      </c>
      <c r="AM30" s="343">
        <f>AM29*(1+P30+'Risk Factors'!$J30)</f>
        <v>0.12619669576728287</v>
      </c>
      <c r="AN30" s="343">
        <f>AN29*(1+Q30+'Risk Factors'!$J30)</f>
        <v>2.9897080539289814E-2</v>
      </c>
      <c r="AO30" s="343">
        <f>AO29*(1+R30+'Risk Factors'!$J30)</f>
        <v>0.28941897161158037</v>
      </c>
      <c r="AP30" s="343">
        <f>AP29*(1+S30+'Risk Factors'!$J30)</f>
        <v>0.30755062386186871</v>
      </c>
      <c r="AR30" s="343">
        <f t="shared" si="3"/>
        <v>8.2380408100622068E-2</v>
      </c>
      <c r="AS30" s="343">
        <f t="shared" si="4"/>
        <v>0.15377266350812599</v>
      </c>
      <c r="AT30" s="343">
        <f t="shared" si="5"/>
        <v>3.643006401785237E-2</v>
      </c>
      <c r="AU30" s="343">
        <f t="shared" si="6"/>
        <v>0.35266158011431464</v>
      </c>
      <c r="AV30" s="343">
        <f t="shared" si="7"/>
        <v>0.374755284259085</v>
      </c>
      <c r="AW30" s="418">
        <f t="shared" si="8"/>
        <v>0.82067054630040992</v>
      </c>
      <c r="AX30" s="343">
        <f t="shared" si="11"/>
        <v>-0.12979168285484188</v>
      </c>
      <c r="AZ30" s="421">
        <v>41060</v>
      </c>
      <c r="BA30" s="92">
        <f>HLOOKUP(BA$1,'AC4'!$F$1:$AC$109,ROW(),0)*'Management and Hedging'!$G$10</f>
        <v>-2.5800619999999996E-2</v>
      </c>
      <c r="BB30" s="92">
        <f>HLOOKUP(BB$1,'AC4'!$F$1:$AC$109,ROW(),0)*'Management and Hedging'!$G$11</f>
        <v>-0.2454493389892578</v>
      </c>
      <c r="BC30" s="92">
        <f>IF('Management and Hedging'!$G$13="yes",BA30+BB30,CQ30)</f>
        <v>-0.2712499589892578</v>
      </c>
      <c r="BD30" s="138" t="e">
        <f>IF(IF('Management and Hedging'!$J$10="no",BL30,BO30)=0,NA(),IF('Management and Hedging'!$J$10="no",BL30,BO30))</f>
        <v>#N/A</v>
      </c>
      <c r="BE30" s="138" t="e">
        <f>IF(IF('Management and Hedging'!$J$10="no",BM30,BP30)=0,NA(),IF('Management and Hedging'!$J$10="no",BM30,BP30))</f>
        <v>#N/A</v>
      </c>
      <c r="BF30" s="138" t="e">
        <f>IF(IF('Management and Hedging'!$J$10="no",BN30,BQ30)=0,NA(),IF('Management and Hedging'!$J$10="no",BN30,BQ30))</f>
        <v>#N/A</v>
      </c>
      <c r="BG30" s="92">
        <f>IF('Management and Hedging'!$G$13="yes",BH30+BI30,CQ30)</f>
        <v>-0.27114995898925781</v>
      </c>
      <c r="BH30" s="92">
        <f>HLOOKUP(BH$1,'Asset Returns'!$F$1:$ZY$109,ROW(),0)*'Management and Hedging'!$G$10</f>
        <v>-2.5780620000000001E-2</v>
      </c>
      <c r="BI30" s="92">
        <f>HLOOKUP(BI$1,'Asset Returns'!$F$1:$ZY$109,ROW(),0)*'Management and Hedging'!$G$11</f>
        <v>-0.24536933898925783</v>
      </c>
      <c r="BJ30" s="92">
        <f>HLOOKUP(BJ$1,'AC4'!$F$1:$AC$109,ROW(),0)</f>
        <v>-0.12900309999999998</v>
      </c>
      <c r="BK30" s="92">
        <f>HLOOKUP(BK$1,'AC4'!$F$1:$AC$109,ROW(),0)</f>
        <v>-0.30681167373657225</v>
      </c>
      <c r="BL30" s="138">
        <f ca="1">'Management and Hedging'!$R$34</f>
        <v>2.5919346055080732</v>
      </c>
      <c r="BM30" s="138">
        <f ca="1">'Management and Hedging'!$R$36</f>
        <v>-2.1312105104673718</v>
      </c>
      <c r="BN30" s="138">
        <f>'Management and Hedging'!$R$38</f>
        <v>-1.1865814872722835</v>
      </c>
      <c r="CK30" s="343">
        <f>CK29*(1+BA30+'Risk Factors'!$J30)</f>
        <v>0.19509950435993981</v>
      </c>
      <c r="CL30" s="343">
        <f>CL29*(1+BB30+'Risk Factors'!$J30)</f>
        <v>0.13478618882557433</v>
      </c>
      <c r="CN30" s="343">
        <f t="shared" si="9"/>
        <v>0.59141547630022218</v>
      </c>
      <c r="CO30" s="343">
        <f t="shared" si="12"/>
        <v>0.40858452369977782</v>
      </c>
      <c r="CP30" s="418">
        <f t="shared" si="10"/>
        <v>0.32988569318551414</v>
      </c>
      <c r="CQ30" s="343">
        <f t="shared" si="13"/>
        <v>-0.12925226105576337</v>
      </c>
      <c r="CS30" s="92"/>
      <c r="CT30" s="260"/>
      <c r="CU30" s="260"/>
      <c r="CV30" s="260"/>
      <c r="CW30" s="260"/>
      <c r="CX30" s="260"/>
      <c r="CY30" s="260"/>
      <c r="CZ30" s="260"/>
      <c r="DB30" s="325"/>
      <c r="DC30" s="183"/>
      <c r="DD30" s="183"/>
      <c r="DE30" s="183"/>
      <c r="DF30" s="183"/>
      <c r="DG30" s="183"/>
      <c r="DH30" s="260"/>
      <c r="DI30" s="260"/>
    </row>
    <row r="31" spans="6:113">
      <c r="F31" s="421">
        <v>41090</v>
      </c>
      <c r="G31" s="92">
        <f>IF(Portfolios!$G$16="yes",SUM(T31:X31),AX31)</f>
        <v>-3.0313175171613679E-3</v>
      </c>
      <c r="H31" s="138" t="e">
        <f>IF(IF(Portfolios!$J$10="no",'AC3'!Y31,'AC3'!AE31)=0,NA(),IF(Portfolios!$J$10="no",Y31,AE31))</f>
        <v>#N/A</v>
      </c>
      <c r="I31" s="138" t="e">
        <f>IF(Portfolios!$J$11="no",NA(),IF(IF(Portfolios!$J$10="no",'AC3'!Z31,'AC3'!AF31)=0,NA(),IF(Portfolios!$J$10="no",Z31,AF31)))</f>
        <v>#N/A</v>
      </c>
      <c r="J31" s="138" t="e">
        <f>IF(Portfolios!$J$11="no",NA(),IF(IF(Portfolios!$J$10="no",'AC3'!AA31,'AC3'!AG31)=0,NA(),IF(Portfolios!$J$10="no",AA31,AG31)))</f>
        <v>#N/A</v>
      </c>
      <c r="K31" s="138" t="e">
        <f>IF(Portfolios!$J$11="no",NA(),IF(IF(Portfolios!$J$10="no",'AC3'!AB31,'AC3'!AH31)=0,NA(),IF(Portfolios!$J$10="no",AB31,AH31)))</f>
        <v>#N/A</v>
      </c>
      <c r="L31" s="138" t="e">
        <f>IF(Portfolios!$J$11="no",NA(),IF(IF(Portfolios!$J$10="no",'AC3'!AC31,'AC3'!AI31)=0,NA(),IF(Portfolios!$J$10="no",AC31,AI31)))</f>
        <v>#N/A</v>
      </c>
      <c r="M31" s="138" t="e">
        <f>IF(Portfolios!$J$11="no",NA(),IF(IF(Portfolios!$J$10="no",'AC3'!AD31,'AC3'!AJ31)=0,NA(),IF(Portfolios!$J$10="no",AD31,AJ31)))</f>
        <v>#N/A</v>
      </c>
      <c r="N31" s="92">
        <f>G31-'Risk Factors'!J31</f>
        <v>-3.0313175171613679E-3</v>
      </c>
      <c r="O31" s="260">
        <f>HLOOKUP(O$1,'Asset Returns'!$F$1:$N$109,ROW(),0)-'Risk Factors'!$J31</f>
        <v>8.8843688368797302E-2</v>
      </c>
      <c r="P31" s="260">
        <f>HLOOKUP(P$1,'Asset Returns'!$F$1:$N$109,ROW(),0)-'Risk Factors'!$J31</f>
        <v>4.6568471938371658E-2</v>
      </c>
      <c r="Q31" s="260">
        <f>HLOOKUP(Q$1,'Asset Returns'!$F$1:$N$109,ROW(),0)-'Risk Factors'!$J31</f>
        <v>-9.5763593912124634E-2</v>
      </c>
      <c r="R31" s="260">
        <f>HLOOKUP(R$1,'Asset Returns'!$F$1:$N$109,ROW(),0)-'Risk Factors'!$J31</f>
        <v>3.1259678304195404E-2</v>
      </c>
      <c r="S31" s="260">
        <f>HLOOKUP(S$1,'Asset Returns'!$F$1:$N$109,ROW(),0)-'Risk Factors'!$J31</f>
        <v>1.3893205672502518E-2</v>
      </c>
      <c r="T31" s="260">
        <f>HLOOKUP(T$1,'Asset Returns'!$F$1:$N$109,ROW(),0)*Portfolios!$G$10</f>
        <v>8.8843688368797306E-3</v>
      </c>
      <c r="U31" s="260">
        <f>HLOOKUP(U$1,'Asset Returns'!$F$1:$N$109,ROW(),0)*Portfolios!$G$11</f>
        <v>4.6568471938371664E-3</v>
      </c>
      <c r="V31" s="260">
        <f>HLOOKUP(V$1,'Asset Returns'!$F$1:$N$109,ROW(),0)*Portfolios!$G$12</f>
        <v>-2.8729078173637387E-2</v>
      </c>
      <c r="W31" s="260">
        <f>HLOOKUP(W$1,'Asset Returns'!$F$1:$N$109,ROW(),0)*Portfolios!$G$13</f>
        <v>9.3779034912586205E-3</v>
      </c>
      <c r="X31" s="260">
        <f>HLOOKUP(X$1,'Asset Returns'!$F$1:$N$109,ROW(),0)*Portfolios!$G$14</f>
        <v>2.7786411345005028E-3</v>
      </c>
      <c r="Y31" s="138">
        <f>Portfolios!$R$34</f>
        <v>-0.68211369708646341</v>
      </c>
      <c r="Z31" s="138">
        <f>Portfolios!$P$11</f>
        <v>0.9378377404978776</v>
      </c>
      <c r="AA31" s="138">
        <f>Portfolios!$P$12</f>
        <v>0.64097224418739052</v>
      </c>
      <c r="AB31" s="138">
        <f>Portfolios!$P$13</f>
        <v>-2.1312105104673718</v>
      </c>
      <c r="AC31" s="138">
        <f>Portfolios!$P$14</f>
        <v>-0.78557102570241866</v>
      </c>
      <c r="AD31" s="138">
        <f>Portfolios!$P$15</f>
        <v>0.17519882647973573</v>
      </c>
      <c r="AL31" s="343">
        <f>AL30*(1+O31+'Risk Factors'!$J31)</f>
        <v>7.3613645264972494E-2</v>
      </c>
      <c r="AM31" s="343">
        <f>AM30*(1+P31+'Risk Factors'!$J31)</f>
        <v>0.13207348305283681</v>
      </c>
      <c r="AN31" s="343">
        <f>AN30*(1+Q31+'Risk Factors'!$J31)</f>
        <v>2.7034028659367181E-2</v>
      </c>
      <c r="AO31" s="343">
        <f>AO30*(1+R31+'Risk Factors'!$J31)</f>
        <v>0.29846611555928942</v>
      </c>
      <c r="AP31" s="343">
        <f>AP30*(1+S31+'Risk Factors'!$J31)</f>
        <v>0.31182348793388809</v>
      </c>
      <c r="AR31" s="343">
        <f t="shared" si="3"/>
        <v>8.7322307990351261E-2</v>
      </c>
      <c r="AS31" s="343">
        <f t="shared" si="4"/>
        <v>0.15666879860364655</v>
      </c>
      <c r="AT31" s="343">
        <f t="shared" si="5"/>
        <v>3.2068426557549115E-2</v>
      </c>
      <c r="AU31" s="343">
        <f t="shared" si="6"/>
        <v>0.35404781238232547</v>
      </c>
      <c r="AV31" s="343">
        <f t="shared" si="7"/>
        <v>0.36989265446612757</v>
      </c>
      <c r="AW31" s="418">
        <f t="shared" si="8"/>
        <v>0.84301076047035406</v>
      </c>
      <c r="AX31" s="343">
        <f t="shared" si="11"/>
        <v>2.722190319934592E-2</v>
      </c>
      <c r="AZ31" s="421">
        <v>41090</v>
      </c>
      <c r="BA31" s="92">
        <f>HLOOKUP(BA$1,'AC4'!$F$1:$AC$109,ROW(),0)*'Management and Hedging'!$G$10</f>
        <v>-1.8382400000000001E-3</v>
      </c>
      <c r="BB31" s="92">
        <f>HLOOKUP(BB$1,'AC4'!$F$1:$AC$109,ROW(),0)*'Management and Hedging'!$G$11</f>
        <v>-7.6610875129699718E-2</v>
      </c>
      <c r="BC31" s="92">
        <f>IF('Management and Hedging'!$G$13="yes",BA31+BB31,CQ31)</f>
        <v>-7.8449115129699723E-2</v>
      </c>
      <c r="BD31" s="138" t="e">
        <f>IF(IF('Management and Hedging'!$J$10="no",BL31,BO31)=0,NA(),IF('Management and Hedging'!$J$10="no",BL31,BO31))</f>
        <v>#N/A</v>
      </c>
      <c r="BE31" s="138" t="e">
        <f>IF(IF('Management and Hedging'!$J$10="no",BM31,BP31)=0,NA(),IF('Management and Hedging'!$J$10="no",BM31,BP31))</f>
        <v>#N/A</v>
      </c>
      <c r="BF31" s="138" t="e">
        <f>IF(IF('Management and Hedging'!$J$10="no",BN31,BQ31)=0,NA(),IF('Management and Hedging'!$J$10="no",BN31,BQ31))</f>
        <v>#N/A</v>
      </c>
      <c r="BG31" s="92">
        <f>IF('Management and Hedging'!$G$13="yes",BH31+BI31,CQ31)</f>
        <v>-7.8449115129699723E-2</v>
      </c>
      <c r="BH31" s="92">
        <f>HLOOKUP(BH$1,'Asset Returns'!$F$1:$ZY$109,ROW(),0)*'Management and Hedging'!$G$10</f>
        <v>-1.8382400000000001E-3</v>
      </c>
      <c r="BI31" s="92">
        <f>HLOOKUP(BI$1,'Asset Returns'!$F$1:$ZY$109,ROW(),0)*'Management and Hedging'!$G$11</f>
        <v>-7.6610875129699718E-2</v>
      </c>
      <c r="BJ31" s="92">
        <f>HLOOKUP(BJ$1,'AC4'!$F$1:$AC$109,ROW(),0)</f>
        <v>-9.1912000000000001E-3</v>
      </c>
      <c r="BK31" s="92">
        <f>HLOOKUP(BK$1,'AC4'!$F$1:$AC$109,ROW(),0)</f>
        <v>-9.5763593912124634E-2</v>
      </c>
      <c r="BL31" s="138">
        <f ca="1">'Management and Hedging'!$R$34</f>
        <v>2.5919346055080732</v>
      </c>
      <c r="BM31" s="138">
        <f ca="1">'Management and Hedging'!$R$36</f>
        <v>-2.1312105104673718</v>
      </c>
      <c r="BN31" s="138">
        <f>'Management and Hedging'!$R$38</f>
        <v>-1.1865814872722835</v>
      </c>
      <c r="CK31" s="343">
        <f>CK30*(1+BA31+'Risk Factors'!$J31)</f>
        <v>0.19474086464704518</v>
      </c>
      <c r="CL31" s="343">
        <f>CL30*(1+BB31+'Risk Factors'!$J31)</f>
        <v>0.12446010094425014</v>
      </c>
      <c r="CN31" s="343">
        <f t="shared" si="9"/>
        <v>0.61008858255269582</v>
      </c>
      <c r="CO31" s="343">
        <f t="shared" si="12"/>
        <v>0.38991141744730423</v>
      </c>
      <c r="CP31" s="418">
        <f t="shared" si="10"/>
        <v>0.31920096559129529</v>
      </c>
      <c r="CQ31" s="343">
        <f t="shared" si="13"/>
        <v>-3.2389181510245724E-2</v>
      </c>
      <c r="CS31" s="92"/>
      <c r="CT31" s="260"/>
      <c r="CU31" s="260"/>
      <c r="CV31" s="260"/>
      <c r="CW31" s="260"/>
      <c r="CX31" s="260"/>
      <c r="CY31" s="260"/>
      <c r="CZ31" s="260"/>
      <c r="DB31" s="325"/>
      <c r="DC31" s="183"/>
      <c r="DD31" s="183"/>
      <c r="DE31" s="183"/>
      <c r="DF31" s="183"/>
      <c r="DG31" s="183"/>
      <c r="DH31" s="260"/>
      <c r="DI31" s="260"/>
    </row>
    <row r="32" spans="6:113">
      <c r="F32" s="421">
        <v>41121</v>
      </c>
      <c r="G32" s="92">
        <f>IF(Portfolios!$G$16="yes",SUM(T32:X32),AX32)</f>
        <v>-5.3602503240108491E-2</v>
      </c>
      <c r="H32" s="138" t="e">
        <f>IF(IF(Portfolios!$J$10="no",'AC3'!Y32,'AC3'!AE32)=0,NA(),IF(Portfolios!$J$10="no",Y32,AE32))</f>
        <v>#N/A</v>
      </c>
      <c r="I32" s="138" t="e">
        <f>IF(Portfolios!$J$11="no",NA(),IF(IF(Portfolios!$J$10="no",'AC3'!Z32,'AC3'!AF32)=0,NA(),IF(Portfolios!$J$10="no",Z32,AF32)))</f>
        <v>#N/A</v>
      </c>
      <c r="J32" s="138" t="e">
        <f>IF(Portfolios!$J$11="no",NA(),IF(IF(Portfolios!$J$10="no",'AC3'!AA32,'AC3'!AG32)=0,NA(),IF(Portfolios!$J$10="no",AA32,AG32)))</f>
        <v>#N/A</v>
      </c>
      <c r="K32" s="138" t="e">
        <f>IF(Portfolios!$J$11="no",NA(),IF(IF(Portfolios!$J$10="no",'AC3'!AB32,'AC3'!AH32)=0,NA(),IF(Portfolios!$J$10="no",AB32,AH32)))</f>
        <v>#N/A</v>
      </c>
      <c r="L32" s="138" t="e">
        <f>IF(Portfolios!$J$11="no",NA(),IF(IF(Portfolios!$J$10="no",'AC3'!AC32,'AC3'!AI32)=0,NA(),IF(Portfolios!$J$10="no",AC32,AI32)))</f>
        <v>#N/A</v>
      </c>
      <c r="M32" s="138" t="e">
        <f>IF(Portfolios!$J$11="no",NA(),IF(IF(Portfolios!$J$10="no",'AC3'!AD32,'AC3'!AJ32)=0,NA(),IF(Portfolios!$J$10="no",AD32,AJ32)))</f>
        <v>#N/A</v>
      </c>
      <c r="N32" s="92">
        <f>G32-'Risk Factors'!J32</f>
        <v>-5.3602503240108491E-2</v>
      </c>
      <c r="O32" s="260">
        <f>HLOOKUP(O$1,'Asset Returns'!$F$1:$N$109,ROW(),0)-'Risk Factors'!$J32</f>
        <v>6.2893559224903584E-3</v>
      </c>
      <c r="P32" s="260">
        <f>HLOOKUP(P$1,'Asset Returns'!$F$1:$N$109,ROW(),0)-'Risk Factors'!$J32</f>
        <v>-4.621577262878418E-2</v>
      </c>
      <c r="Q32" s="260">
        <f>HLOOKUP(Q$1,'Asset Returns'!$F$1:$N$109,ROW(),0)-'Risk Factors'!$J32</f>
        <v>-0.13391780853271484</v>
      </c>
      <c r="R32" s="260">
        <f>HLOOKUP(R$1,'Asset Returns'!$F$1:$N$109,ROW(),0)-'Risk Factors'!$J32</f>
        <v>-3.2811865210533142E-2</v>
      </c>
      <c r="S32" s="260">
        <f>HLOOKUP(S$1,'Asset Returns'!$F$1:$N$109,ROW(),0)-'Risk Factors'!$J32</f>
        <v>2.0452027674764395E-3</v>
      </c>
      <c r="T32" s="260">
        <f>HLOOKUP(T$1,'Asset Returns'!$F$1:$N$109,ROW(),0)*Portfolios!$G$10</f>
        <v>6.289355922490359E-4</v>
      </c>
      <c r="U32" s="260">
        <f>HLOOKUP(U$1,'Asset Returns'!$F$1:$N$109,ROW(),0)*Portfolios!$G$11</f>
        <v>-4.6215772628784178E-3</v>
      </c>
      <c r="V32" s="260">
        <f>HLOOKUP(V$1,'Asset Returns'!$F$1:$N$109,ROW(),0)*Portfolios!$G$12</f>
        <v>-4.0175342559814455E-2</v>
      </c>
      <c r="W32" s="260">
        <f>HLOOKUP(W$1,'Asset Returns'!$F$1:$N$109,ROW(),0)*Portfolios!$G$13</f>
        <v>-9.8435595631599423E-3</v>
      </c>
      <c r="X32" s="260">
        <f>HLOOKUP(X$1,'Asset Returns'!$F$1:$N$109,ROW(),0)*Portfolios!$G$14</f>
        <v>4.090405534952878E-4</v>
      </c>
      <c r="Y32" s="138">
        <f>Portfolios!$R$34</f>
        <v>-0.68211369708646341</v>
      </c>
      <c r="Z32" s="138">
        <f>Portfolios!$P$11</f>
        <v>0.9378377404978776</v>
      </c>
      <c r="AA32" s="138">
        <f>Portfolios!$P$12</f>
        <v>0.64097224418739052</v>
      </c>
      <c r="AB32" s="138">
        <f>Portfolios!$P$13</f>
        <v>-2.1312105104673718</v>
      </c>
      <c r="AC32" s="138">
        <f>Portfolios!$P$14</f>
        <v>-0.78557102570241866</v>
      </c>
      <c r="AD32" s="138">
        <f>Portfolios!$P$15</f>
        <v>0.17519882647973573</v>
      </c>
      <c r="AL32" s="343">
        <f>AL31*(1+O32+'Risk Factors'!$J32)</f>
        <v>7.4076627680795856E-2</v>
      </c>
      <c r="AM32" s="343">
        <f>AM31*(1+P32+'Risk Factors'!$J32)</f>
        <v>0.12596960498977533</v>
      </c>
      <c r="AN32" s="343">
        <f>AN31*(1+Q32+'Risk Factors'!$J32)</f>
        <v>2.3413690785494122E-2</v>
      </c>
      <c r="AO32" s="343">
        <f>AO31*(1+R32+'Risk Factors'!$J32)</f>
        <v>0.28867288560564663</v>
      </c>
      <c r="AP32" s="343">
        <f>AP31*(1+S32+'Risk Factors'!$J32)</f>
        <v>0.31246123019437461</v>
      </c>
      <c r="AR32" s="343">
        <f t="shared" si="3"/>
        <v>8.9834056704587162E-2</v>
      </c>
      <c r="AS32" s="343">
        <f t="shared" si="4"/>
        <v>0.15276560221490287</v>
      </c>
      <c r="AT32" s="343">
        <f t="shared" si="5"/>
        <v>2.8394203293801334E-2</v>
      </c>
      <c r="AU32" s="343">
        <f t="shared" si="6"/>
        <v>0.35007879254872487</v>
      </c>
      <c r="AV32" s="343">
        <f t="shared" si="7"/>
        <v>0.37892734523798366</v>
      </c>
      <c r="AW32" s="418">
        <f t="shared" si="8"/>
        <v>0.82459403925608665</v>
      </c>
      <c r="AX32" s="343">
        <f t="shared" si="11"/>
        <v>-2.1846365524435196E-2</v>
      </c>
      <c r="AZ32" s="421">
        <v>41121</v>
      </c>
      <c r="BA32" s="92">
        <f>HLOOKUP(BA$1,'AC4'!$F$1:$AC$109,ROW(),0)*'Management and Hedging'!$G$10</f>
        <v>0</v>
      </c>
      <c r="BB32" s="92">
        <f>HLOOKUP(BB$1,'AC4'!$F$1:$AC$109,ROW(),0)*'Management and Hedging'!$G$11</f>
        <v>-0.10713424682617188</v>
      </c>
      <c r="BC32" s="92">
        <f>IF('Management and Hedging'!$G$13="yes",BA32+BB32,CQ32)</f>
        <v>-0.10713424682617188</v>
      </c>
      <c r="BD32" s="138" t="e">
        <f>IF(IF('Management and Hedging'!$J$10="no",BL32,BO32)=0,NA(),IF('Management and Hedging'!$J$10="no",BL32,BO32))</f>
        <v>#N/A</v>
      </c>
      <c r="BE32" s="138" t="e">
        <f>IF(IF('Management and Hedging'!$J$10="no",BM32,BP32)=0,NA(),IF('Management and Hedging'!$J$10="no",BM32,BP32))</f>
        <v>#N/A</v>
      </c>
      <c r="BF32" s="138" t="e">
        <f>IF(IF('Management and Hedging'!$J$10="no",BN32,BQ32)=0,NA(),IF('Management and Hedging'!$J$10="no",BN32,BQ32))</f>
        <v>#N/A</v>
      </c>
      <c r="BG32" s="92">
        <f>IF('Management and Hedging'!$G$13="yes",BH32+BI32,CQ32)</f>
        <v>-0.10713424682617188</v>
      </c>
      <c r="BH32" s="92">
        <f>HLOOKUP(BH$1,'Asset Returns'!$F$1:$ZY$109,ROW(),0)*'Management and Hedging'!$G$10</f>
        <v>0</v>
      </c>
      <c r="BI32" s="92">
        <f>HLOOKUP(BI$1,'Asset Returns'!$F$1:$ZY$109,ROW(),0)*'Management and Hedging'!$G$11</f>
        <v>-0.10713424682617188</v>
      </c>
      <c r="BJ32" s="92">
        <f>HLOOKUP(BJ$1,'AC4'!$F$1:$AC$109,ROW(),0)</f>
        <v>0</v>
      </c>
      <c r="BK32" s="92">
        <f>HLOOKUP(BK$1,'AC4'!$F$1:$AC$109,ROW(),0)</f>
        <v>-0.13391780853271484</v>
      </c>
      <c r="BL32" s="138">
        <f ca="1">'Management and Hedging'!$R$34</f>
        <v>2.5919346055080732</v>
      </c>
      <c r="BM32" s="138">
        <f ca="1">'Management and Hedging'!$R$36</f>
        <v>-2.1312105104673718</v>
      </c>
      <c r="BN32" s="138">
        <f>'Management and Hedging'!$R$38</f>
        <v>-1.1865814872722835</v>
      </c>
      <c r="CK32" s="343">
        <f>CK31*(1+BA32+'Risk Factors'!$J32)</f>
        <v>0.19474086464704518</v>
      </c>
      <c r="CL32" s="343">
        <f>CL31*(1+BB32+'Risk Factors'!$J32)</f>
        <v>0.11112616176967857</v>
      </c>
      <c r="CN32" s="343">
        <f t="shared" si="9"/>
        <v>0.63668472842091695</v>
      </c>
      <c r="CO32" s="343">
        <f t="shared" si="12"/>
        <v>0.36331527157908311</v>
      </c>
      <c r="CP32" s="418">
        <f t="shared" si="10"/>
        <v>0.30586702641672375</v>
      </c>
      <c r="CQ32" s="343">
        <f t="shared" si="13"/>
        <v>-4.177286603714192E-2</v>
      </c>
      <c r="CS32" s="92"/>
      <c r="CT32" s="260"/>
      <c r="CU32" s="260"/>
      <c r="CV32" s="260"/>
      <c r="CW32" s="260"/>
      <c r="CX32" s="260"/>
      <c r="CY32" s="260"/>
      <c r="CZ32" s="260"/>
      <c r="DB32" s="325"/>
      <c r="DC32" s="183"/>
      <c r="DD32" s="183"/>
      <c r="DE32" s="183"/>
      <c r="DF32" s="183"/>
      <c r="DG32" s="183"/>
      <c r="DH32" s="260"/>
      <c r="DI32" s="260"/>
    </row>
    <row r="33" spans="6:113">
      <c r="F33" s="421">
        <v>41152</v>
      </c>
      <c r="G33" s="92">
        <f>IF(Portfolios!$G$16="yes",SUM(T33:X33),AX33)</f>
        <v>0.15288711476605385</v>
      </c>
      <c r="H33" s="138" t="e">
        <f>IF(IF(Portfolios!$J$10="no",'AC3'!Y33,'AC3'!AE33)=0,NA(),IF(Portfolios!$J$10="no",Y33,AE33))</f>
        <v>#N/A</v>
      </c>
      <c r="I33" s="138" t="e">
        <f>IF(Portfolios!$J$11="no",NA(),IF(IF(Portfolios!$J$10="no",'AC3'!Z33,'AC3'!AF33)=0,NA(),IF(Portfolios!$J$10="no",Z33,AF33)))</f>
        <v>#N/A</v>
      </c>
      <c r="J33" s="138" t="e">
        <f>IF(Portfolios!$J$11="no",NA(),IF(IF(Portfolios!$J$10="no",'AC3'!AA33,'AC3'!AG33)=0,NA(),IF(Portfolios!$J$10="no",AA33,AG33)))</f>
        <v>#N/A</v>
      </c>
      <c r="K33" s="138" t="e">
        <f>IF(Portfolios!$J$11="no",NA(),IF(IF(Portfolios!$J$10="no",'AC3'!AB33,'AC3'!AH33)=0,NA(),IF(Portfolios!$J$10="no",AB33,AH33)))</f>
        <v>#N/A</v>
      </c>
      <c r="L33" s="138" t="e">
        <f>IF(Portfolios!$J$11="no",NA(),IF(IF(Portfolios!$J$10="no",'AC3'!AC33,'AC3'!AI33)=0,NA(),IF(Portfolios!$J$10="no",AC33,AI33)))</f>
        <v>#N/A</v>
      </c>
      <c r="M33" s="138" t="e">
        <f>IF(Portfolios!$J$11="no",NA(),IF(IF(Portfolios!$J$10="no",'AC3'!AD33,'AC3'!AJ33)=0,NA(),IF(Portfolios!$J$10="no",AD33,AJ33)))</f>
        <v>#N/A</v>
      </c>
      <c r="N33" s="92">
        <f>G33-'Risk Factors'!J33</f>
        <v>0.15278711476605386</v>
      </c>
      <c r="O33" s="260">
        <f>HLOOKUP(O$1,'Asset Returns'!$F$1:$N$109,ROW(),0)-'Risk Factors'!$J33</f>
        <v>6.4142057502269742E-2</v>
      </c>
      <c r="P33" s="260">
        <f>HLOOKUP(P$1,'Asset Returns'!$F$1:$N$109,ROW(),0)-'Risk Factors'!$J33</f>
        <v>3.51940559387207E-2</v>
      </c>
      <c r="Q33" s="260">
        <f>HLOOKUP(Q$1,'Asset Returns'!$F$1:$N$109,ROW(),0)-'Risk Factors'!$J33</f>
        <v>0.45530404319763185</v>
      </c>
      <c r="R33" s="260">
        <f>HLOOKUP(R$1,'Asset Returns'!$F$1:$N$109,ROW(),0)-'Risk Factors'!$J33</f>
        <v>2.2020842710137368E-2</v>
      </c>
      <c r="S33" s="260">
        <f>HLOOKUP(S$1,'Asset Returns'!$F$1:$N$109,ROW(),0)-'Risk Factors'!$J33</f>
        <v>-1.7198117518797517E-3</v>
      </c>
      <c r="T33" s="260">
        <f>HLOOKUP(T$1,'Asset Returns'!$F$1:$N$109,ROW(),0)*Portfolios!$G$10</f>
        <v>6.4242057502269748E-3</v>
      </c>
      <c r="U33" s="260">
        <f>HLOOKUP(U$1,'Asset Returns'!$F$1:$N$109,ROW(),0)*Portfolios!$G$11</f>
        <v>3.5294055938720707E-3</v>
      </c>
      <c r="V33" s="260">
        <f>HLOOKUP(V$1,'Asset Returns'!$F$1:$N$109,ROW(),0)*Portfolios!$G$12</f>
        <v>0.13662121295928956</v>
      </c>
      <c r="W33" s="260">
        <f>HLOOKUP(W$1,'Asset Returns'!$F$1:$N$109,ROW(),0)*Portfolios!$G$13</f>
        <v>6.6362528130412103E-3</v>
      </c>
      <c r="X33" s="260">
        <f>HLOOKUP(X$1,'Asset Returns'!$F$1:$N$109,ROW(),0)*Portfolios!$G$14</f>
        <v>-3.2396235037595027E-4</v>
      </c>
      <c r="Y33" s="138">
        <f>Portfolios!$R$34</f>
        <v>-0.68211369708646341</v>
      </c>
      <c r="Z33" s="138">
        <f>Portfolios!$P$11</f>
        <v>0.9378377404978776</v>
      </c>
      <c r="AA33" s="138">
        <f>Portfolios!$P$12</f>
        <v>0.64097224418739052</v>
      </c>
      <c r="AB33" s="138">
        <f>Portfolios!$P$13</f>
        <v>-2.1312105104673718</v>
      </c>
      <c r="AC33" s="138">
        <f>Portfolios!$P$14</f>
        <v>-0.78557102570241866</v>
      </c>
      <c r="AD33" s="138">
        <f>Portfolios!$P$15</f>
        <v>0.17519882647973573</v>
      </c>
      <c r="AL33" s="343">
        <f>AL32*(1+O33+'Risk Factors'!$J33)</f>
        <v>7.8835462655839766E-2</v>
      </c>
      <c r="AM33" s="343">
        <f>AM32*(1+P33+'Risk Factors'!$J33)</f>
        <v>0.13041558327486302</v>
      </c>
      <c r="AN33" s="343">
        <f>AN32*(1+Q33+'Risk Factors'!$J33)</f>
        <v>3.4076380235387282E-2</v>
      </c>
      <c r="AO33" s="343">
        <f>AO32*(1+R33+'Risk Factors'!$J33)</f>
        <v>0.29505857310281064</v>
      </c>
      <c r="AP33" s="343">
        <f>AP32*(1+S33+'Risk Factors'!$J33)</f>
        <v>0.31195510182169894</v>
      </c>
      <c r="AR33" s="343">
        <f t="shared" si="3"/>
        <v>9.2710398867854135E-2</v>
      </c>
      <c r="AS33" s="343">
        <f t="shared" si="4"/>
        <v>0.15336855187594639</v>
      </c>
      <c r="AT33" s="343">
        <f t="shared" si="5"/>
        <v>4.0073777677784639E-2</v>
      </c>
      <c r="AU33" s="343">
        <f t="shared" si="6"/>
        <v>0.34698848817772671</v>
      </c>
      <c r="AV33" s="343">
        <f t="shared" si="7"/>
        <v>0.36685878340068812</v>
      </c>
      <c r="AW33" s="418">
        <f t="shared" si="8"/>
        <v>0.85034110109059968</v>
      </c>
      <c r="AX33" s="343">
        <f t="shared" si="11"/>
        <v>3.1223924269136116E-2</v>
      </c>
      <c r="AZ33" s="421">
        <v>41152</v>
      </c>
      <c r="BA33" s="92">
        <f>HLOOKUP(BA$1,'AC4'!$F$1:$AC$109,ROW(),0)*'Management and Hedging'!$G$10</f>
        <v>1.7790759999999999E-2</v>
      </c>
      <c r="BB33" s="92">
        <f>HLOOKUP(BB$1,'AC4'!$F$1:$AC$109,ROW(),0)*'Management and Hedging'!$G$11</f>
        <v>0.36424323455810548</v>
      </c>
      <c r="BC33" s="92">
        <f>IF('Management and Hedging'!$G$13="yes",BA33+BB33,CQ33)</f>
        <v>0.38203399455810549</v>
      </c>
      <c r="BD33" s="138" t="e">
        <f>IF(IF('Management and Hedging'!$J$10="no",BL33,BO33)=0,NA(),IF('Management and Hedging'!$J$10="no",BL33,BO33))</f>
        <v>#N/A</v>
      </c>
      <c r="BE33" s="138" t="e">
        <f>IF(IF('Management and Hedging'!$J$10="no",BM33,BP33)=0,NA(),IF('Management and Hedging'!$J$10="no",BM33,BP33))</f>
        <v>#N/A</v>
      </c>
      <c r="BF33" s="138" t="e">
        <f>IF(IF('Management and Hedging'!$J$10="no",BN33,BQ33)=0,NA(),IF('Management and Hedging'!$J$10="no",BN33,BQ33))</f>
        <v>#N/A</v>
      </c>
      <c r="BG33" s="92">
        <f>IF('Management and Hedging'!$G$13="yes",BH33+BI33,CQ33)</f>
        <v>0.38213399455810548</v>
      </c>
      <c r="BH33" s="92">
        <f>HLOOKUP(BH$1,'Asset Returns'!$F$1:$ZY$109,ROW(),0)*'Management and Hedging'!$G$10</f>
        <v>1.7810759999999998E-2</v>
      </c>
      <c r="BI33" s="92">
        <f>HLOOKUP(BI$1,'Asset Returns'!$F$1:$ZY$109,ROW(),0)*'Management and Hedging'!$G$11</f>
        <v>0.3643232345581055</v>
      </c>
      <c r="BJ33" s="92">
        <f>HLOOKUP(BJ$1,'AC4'!$F$1:$AC$109,ROW(),0)</f>
        <v>8.8953799999999986E-2</v>
      </c>
      <c r="BK33" s="92">
        <f>HLOOKUP(BK$1,'AC4'!$F$1:$AC$109,ROW(),0)</f>
        <v>0.45530404319763185</v>
      </c>
      <c r="BL33" s="138">
        <f ca="1">'Management and Hedging'!$R$34</f>
        <v>2.5919346055080732</v>
      </c>
      <c r="BM33" s="138">
        <f ca="1">'Management and Hedging'!$R$36</f>
        <v>-2.1312105104673718</v>
      </c>
      <c r="BN33" s="138">
        <f>'Management and Hedging'!$R$38</f>
        <v>-1.1865814872722835</v>
      </c>
      <c r="CK33" s="343">
        <f>CK32*(1+BA33+'Risk Factors'!$J33)</f>
        <v>0.19822492671863795</v>
      </c>
      <c r="CL33" s="343">
        <f>CL32*(1+BB33+'Risk Factors'!$J33)</f>
        <v>0.15161422699287055</v>
      </c>
      <c r="CN33" s="343">
        <f t="shared" si="9"/>
        <v>0.56661732860839875</v>
      </c>
      <c r="CO33" s="343">
        <f t="shared" si="12"/>
        <v>0.43338267139160119</v>
      </c>
      <c r="CP33" s="418">
        <f t="shared" si="10"/>
        <v>0.34983915371150853</v>
      </c>
      <c r="CQ33" s="343">
        <f t="shared" si="13"/>
        <v>0.14376223488332363</v>
      </c>
      <c r="CS33" s="92"/>
      <c r="CT33" s="260"/>
      <c r="CU33" s="260"/>
      <c r="CV33" s="260"/>
      <c r="CW33" s="260"/>
      <c r="CX33" s="260"/>
      <c r="CY33" s="260"/>
      <c r="CZ33" s="260"/>
      <c r="DB33" s="325"/>
      <c r="DC33" s="92"/>
      <c r="DD33" s="92"/>
      <c r="DE33" s="260"/>
      <c r="DF33" s="260"/>
      <c r="DG33" s="260"/>
      <c r="DH33" s="260"/>
      <c r="DI33" s="260"/>
    </row>
    <row r="34" spans="6:113">
      <c r="F34" s="421">
        <v>41182</v>
      </c>
      <c r="G34" s="92">
        <f>IF(Portfolios!$G$16="yes",SUM(T34:X34),AX34)</f>
        <v>3.9292055834084752E-2</v>
      </c>
      <c r="H34" s="138" t="e">
        <f>IF(IF(Portfolios!$J$10="no",'AC3'!Y34,'AC3'!AE34)=0,NA(),IF(Portfolios!$J$10="no",Y34,AE34))</f>
        <v>#N/A</v>
      </c>
      <c r="I34" s="138" t="e">
        <f>IF(Portfolios!$J$11="no",NA(),IF(IF(Portfolios!$J$10="no",'AC3'!Z34,'AC3'!AF34)=0,NA(),IF(Portfolios!$J$10="no",Z34,AF34)))</f>
        <v>#N/A</v>
      </c>
      <c r="J34" s="138" t="e">
        <f>IF(Portfolios!$J$11="no",NA(),IF(IF(Portfolios!$J$10="no",'AC3'!AA34,'AC3'!AG34)=0,NA(),IF(Portfolios!$J$10="no",AA34,AG34)))</f>
        <v>#N/A</v>
      </c>
      <c r="K34" s="138" t="e">
        <f>IF(Portfolios!$J$11="no",NA(),IF(IF(Portfolios!$J$10="no",'AC3'!AB34,'AC3'!AH34)=0,NA(),IF(Portfolios!$J$10="no",AB34,AH34)))</f>
        <v>#N/A</v>
      </c>
      <c r="L34" s="138" t="e">
        <f>IF(Portfolios!$J$11="no",NA(),IF(IF(Portfolios!$J$10="no",'AC3'!AC34,'AC3'!AI34)=0,NA(),IF(Portfolios!$J$10="no",AC34,AI34)))</f>
        <v>#N/A</v>
      </c>
      <c r="M34" s="138" t="e">
        <f>IF(Portfolios!$J$11="no",NA(),IF(IF(Portfolios!$J$10="no",'AC3'!AD34,'AC3'!AJ34)=0,NA(),IF(Portfolios!$J$10="no",AD34,AJ34)))</f>
        <v>#N/A</v>
      </c>
      <c r="N34" s="92">
        <f>G34-'Risk Factors'!J34</f>
        <v>3.9192055834084749E-2</v>
      </c>
      <c r="O34" s="260">
        <f>HLOOKUP(O$1,'Asset Returns'!$F$1:$N$109,ROW(),0)-'Risk Factors'!$J34</f>
        <v>5.276668646931648E-3</v>
      </c>
      <c r="P34" s="260">
        <f>HLOOKUP(P$1,'Asset Returns'!$F$1:$N$109,ROW(),0)-'Risk Factors'!$J34</f>
        <v>0.20406429638862611</v>
      </c>
      <c r="Q34" s="260">
        <f>HLOOKUP(Q$1,'Asset Returns'!$F$1:$N$109,ROW(),0)-'Risk Factors'!$J34</f>
        <v>1.9973685795068741E-2</v>
      </c>
      <c r="R34" s="260">
        <f>HLOOKUP(R$1,'Asset Returns'!$F$1:$N$109,ROW(),0)-'Risk Factors'!$J34</f>
        <v>-2.0905744120478628E-3</v>
      </c>
      <c r="S34" s="260">
        <f>HLOOKUP(S$1,'Asset Returns'!$F$1:$N$109,ROW(),0)-'Risk Factors'!$J34</f>
        <v>6.4465129578113553E-2</v>
      </c>
      <c r="T34" s="260">
        <f>HLOOKUP(T$1,'Asset Returns'!$F$1:$N$109,ROW(),0)*Portfolios!$G$10</f>
        <v>5.3766686469316485E-4</v>
      </c>
      <c r="U34" s="260">
        <f>HLOOKUP(U$1,'Asset Returns'!$F$1:$N$109,ROW(),0)*Portfolios!$G$11</f>
        <v>2.0416429638862612E-2</v>
      </c>
      <c r="V34" s="260">
        <f>HLOOKUP(V$1,'Asset Returns'!$F$1:$N$109,ROW(),0)*Portfolios!$G$12</f>
        <v>6.0221057385206221E-3</v>
      </c>
      <c r="W34" s="260">
        <f>HLOOKUP(W$1,'Asset Returns'!$F$1:$N$109,ROW(),0)*Portfolios!$G$13</f>
        <v>-5.9717232361435892E-4</v>
      </c>
      <c r="X34" s="260">
        <f>HLOOKUP(X$1,'Asset Returns'!$F$1:$N$109,ROW(),0)*Portfolios!$G$14</f>
        <v>1.2913025915622708E-2</v>
      </c>
      <c r="Y34" s="138">
        <f>Portfolios!$R$34</f>
        <v>-0.68211369708646341</v>
      </c>
      <c r="Z34" s="138">
        <f>Portfolios!$P$11</f>
        <v>0.9378377404978776</v>
      </c>
      <c r="AA34" s="138">
        <f>Portfolios!$P$12</f>
        <v>0.64097224418739052</v>
      </c>
      <c r="AB34" s="138">
        <f>Portfolios!$P$13</f>
        <v>-2.1312105104673718</v>
      </c>
      <c r="AC34" s="138">
        <f>Portfolios!$P$14</f>
        <v>-0.78557102570241866</v>
      </c>
      <c r="AD34" s="138">
        <f>Portfolios!$P$15</f>
        <v>0.17519882647973573</v>
      </c>
      <c r="AL34" s="343">
        <f>AL33*(1+O34+'Risk Factors'!$J34)</f>
        <v>7.9259334816167773E-2</v>
      </c>
      <c r="AM34" s="343">
        <f>AM33*(1+P34+'Risk Factors'!$J34)</f>
        <v>0.15704178907228772</v>
      </c>
      <c r="AN34" s="343">
        <f>AN33*(1+Q34+'Risk Factors'!$J34)</f>
        <v>3.4760418785265736E-2</v>
      </c>
      <c r="AO34" s="343">
        <f>AO33*(1+R34+'Risk Factors'!$J34)</f>
        <v>0.29447123705713685</v>
      </c>
      <c r="AP34" s="343">
        <f>AP33*(1+S34+'Risk Factors'!$J34)</f>
        <v>0.33209652339337054</v>
      </c>
      <c r="AR34" s="343">
        <f t="shared" ref="AR34:AR65" si="15">AL34/SUM($AL34:$AP34)</f>
        <v>8.8298515367427319E-2</v>
      </c>
      <c r="AS34" s="343">
        <f t="shared" ref="AS34:AS65" si="16">AM34/SUM($AL34:$AP34)</f>
        <v>0.17495171840502372</v>
      </c>
      <c r="AT34" s="343">
        <f t="shared" ref="AT34:AT65" si="17">AN34/SUM($AL34:$AP34)</f>
        <v>3.8724692547670782E-2</v>
      </c>
      <c r="AU34" s="343">
        <f t="shared" ref="AU34:AU65" si="18">AO34/SUM($AL34:$AP34)</f>
        <v>0.32805439398225961</v>
      </c>
      <c r="AV34" s="343">
        <f t="shared" ref="AV34:AV65" si="19">AP34/SUM($AL34:$AP34)</f>
        <v>0.36997067969761854</v>
      </c>
      <c r="AW34" s="418">
        <f t="shared" ref="AW34:AW65" si="20">SUM(AL34:AP34)</f>
        <v>0.89762930312422862</v>
      </c>
      <c r="AX34" s="343">
        <f t="shared" si="11"/>
        <v>5.5610862479750445E-2</v>
      </c>
      <c r="AZ34" s="421">
        <v>41182</v>
      </c>
      <c r="BA34" s="92">
        <f>HLOOKUP(BA$1,'AC4'!$F$1:$AC$109,ROW(),0)*'Management and Hedging'!$G$10</f>
        <v>2.7577960000000002E-2</v>
      </c>
      <c r="BB34" s="92">
        <f>HLOOKUP(BB$1,'AC4'!$F$1:$AC$109,ROW(),0)*'Management and Hedging'!$G$11</f>
        <v>1.5978948636054993E-2</v>
      </c>
      <c r="BC34" s="92">
        <f>IF('Management and Hedging'!$G$13="yes",BA34+BB34,CQ34)</f>
        <v>4.3556908636054992E-2</v>
      </c>
      <c r="BD34" s="138" t="e">
        <f>IF(IF('Management and Hedging'!$J$10="no",BL34,BO34)=0,NA(),IF('Management and Hedging'!$J$10="no",BL34,BO34))</f>
        <v>#N/A</v>
      </c>
      <c r="BE34" s="138" t="e">
        <f>IF(IF('Management and Hedging'!$J$10="no",BM34,BP34)=0,NA(),IF('Management and Hedging'!$J$10="no",BM34,BP34))</f>
        <v>#N/A</v>
      </c>
      <c r="BF34" s="138" t="e">
        <f>IF(IF('Management and Hedging'!$J$10="no",BN34,BQ34)=0,NA(),IF('Management and Hedging'!$J$10="no",BN34,BQ34))</f>
        <v>#N/A</v>
      </c>
      <c r="BG34" s="92">
        <f>IF('Management and Hedging'!$G$13="yes",BH34+BI34,CQ34)</f>
        <v>4.3656908636054995E-2</v>
      </c>
      <c r="BH34" s="92">
        <f>HLOOKUP(BH$1,'Asset Returns'!$F$1:$ZY$109,ROW(),0)*'Management and Hedging'!$G$10</f>
        <v>2.7597960000000001E-2</v>
      </c>
      <c r="BI34" s="92">
        <f>HLOOKUP(BI$1,'Asset Returns'!$F$1:$ZY$109,ROW(),0)*'Management and Hedging'!$G$11</f>
        <v>1.6058948636054993E-2</v>
      </c>
      <c r="BJ34" s="92">
        <f>HLOOKUP(BJ$1,'AC4'!$F$1:$AC$109,ROW(),0)</f>
        <v>0.13788980000000001</v>
      </c>
      <c r="BK34" s="92">
        <f>HLOOKUP(BK$1,'AC4'!$F$1:$AC$109,ROW(),0)</f>
        <v>1.9973685795068741E-2</v>
      </c>
      <c r="BL34" s="138">
        <f ca="1">'Management and Hedging'!$R$34</f>
        <v>2.5919346055080732</v>
      </c>
      <c r="BM34" s="138">
        <f ca="1">'Management and Hedging'!$R$36</f>
        <v>-2.1312105104673718</v>
      </c>
      <c r="BN34" s="138">
        <f>'Management and Hedging'!$R$38</f>
        <v>-1.1865814872722835</v>
      </c>
      <c r="CK34" s="343">
        <f>CK33*(1+BA34+'Risk Factors'!$J34)</f>
        <v>0.20371138831135932</v>
      </c>
      <c r="CL34" s="343">
        <f>CL33*(1+BB34+'Risk Factors'!$J34)</f>
        <v>0.15405202436118412</v>
      </c>
      <c r="CN34" s="343">
        <f t="shared" si="9"/>
        <v>0.5694025188031564</v>
      </c>
      <c r="CO34" s="343">
        <f t="shared" si="12"/>
        <v>0.43059748119684366</v>
      </c>
      <c r="CP34" s="418">
        <f t="shared" si="10"/>
        <v>0.35776341267254341</v>
      </c>
      <c r="CQ34" s="343">
        <f t="shared" si="13"/>
        <v>2.2651149469591791E-2</v>
      </c>
      <c r="CS34" s="92"/>
      <c r="CT34" s="260"/>
      <c r="CU34" s="260"/>
      <c r="CV34" s="260"/>
      <c r="CW34" s="260"/>
      <c r="CX34" s="260"/>
      <c r="CY34" s="260"/>
      <c r="CZ34" s="260"/>
      <c r="DB34" s="325"/>
      <c r="DC34" s="92"/>
      <c r="DD34" s="92"/>
      <c r="DE34" s="260"/>
      <c r="DF34" s="260"/>
      <c r="DG34" s="260"/>
      <c r="DH34" s="260"/>
      <c r="DI34" s="260"/>
    </row>
    <row r="35" spans="6:113">
      <c r="F35" s="421">
        <v>41213</v>
      </c>
      <c r="G35" s="92">
        <f>IF(Portfolios!$G$16="yes",SUM(T35:X35),AX35)</f>
        <v>-7.941061574965716E-2</v>
      </c>
      <c r="H35" s="138" t="e">
        <f>IF(IF(Portfolios!$J$10="no",'AC3'!Y35,'AC3'!AE35)=0,NA(),IF(Portfolios!$J$10="no",Y35,AE35))</f>
        <v>#N/A</v>
      </c>
      <c r="I35" s="138" t="e">
        <f>IF(Portfolios!$J$11="no",NA(),IF(IF(Portfolios!$J$10="no",'AC3'!Z35,'AC3'!AF35)=0,NA(),IF(Portfolios!$J$10="no",Z35,AF35)))</f>
        <v>#N/A</v>
      </c>
      <c r="J35" s="138" t="e">
        <f>IF(Portfolios!$J$11="no",NA(),IF(IF(Portfolios!$J$10="no",'AC3'!AA35,'AC3'!AG35)=0,NA(),IF(Portfolios!$J$10="no",AA35,AG35)))</f>
        <v>#N/A</v>
      </c>
      <c r="K35" s="138" t="e">
        <f>IF(Portfolios!$J$11="no",NA(),IF(IF(Portfolios!$J$10="no",'AC3'!AB35,'AC3'!AH35)=0,NA(),IF(Portfolios!$J$10="no",AB35,AH35)))</f>
        <v>#N/A</v>
      </c>
      <c r="L35" s="138" t="e">
        <f>IF(Portfolios!$J$11="no",NA(),IF(IF(Portfolios!$J$10="no",'AC3'!AC35,'AC3'!AI35)=0,NA(),IF(Portfolios!$J$10="no",AC35,AI35)))</f>
        <v>#N/A</v>
      </c>
      <c r="M35" s="138" t="e">
        <f>IF(Portfolios!$J$11="no",NA(),IF(IF(Portfolios!$J$10="no",'AC3'!AD35,'AC3'!AJ35)=0,NA(),IF(Portfolios!$J$10="no",AD35,AJ35)))</f>
        <v>#N/A</v>
      </c>
      <c r="N35" s="92">
        <f>G35-'Risk Factors'!J35</f>
        <v>-7.9510615749657162E-2</v>
      </c>
      <c r="O35" s="260">
        <f>HLOOKUP(O$1,'Asset Returns'!$F$1:$N$109,ROW(),0)-'Risk Factors'!$J35</f>
        <v>1.3022405856847764E-2</v>
      </c>
      <c r="P35" s="260">
        <f>HLOOKUP(P$1,'Asset Returns'!$F$1:$N$109,ROW(),0)-'Risk Factors'!$J35</f>
        <v>-6.6626353359222415E-2</v>
      </c>
      <c r="Q35" s="260">
        <f>HLOOKUP(Q$1,'Asset Returns'!$F$1:$N$109,ROW(),0)-'Risk Factors'!$J35</f>
        <v>-0.18666913936138152</v>
      </c>
      <c r="R35" s="260">
        <f>HLOOKUP(R$1,'Asset Returns'!$F$1:$N$109,ROW(),0)-'Risk Factors'!$J35</f>
        <v>-1.8844880333542823E-2</v>
      </c>
      <c r="S35" s="260">
        <f>HLOOKUP(S$1,'Asset Returns'!$F$1:$N$109,ROW(),0)-'Risk Factors'!$J35</f>
        <v>-6.2480075454711917E-2</v>
      </c>
      <c r="T35" s="260">
        <f>HLOOKUP(T$1,'Asset Returns'!$F$1:$N$109,ROW(),0)*Portfolios!$G$10</f>
        <v>1.3122405856847764E-3</v>
      </c>
      <c r="U35" s="260">
        <f>HLOOKUP(U$1,'Asset Returns'!$F$1:$N$109,ROW(),0)*Portfolios!$G$11</f>
        <v>-6.6526353359222419E-3</v>
      </c>
      <c r="V35" s="260">
        <f>HLOOKUP(V$1,'Asset Returns'!$F$1:$N$109,ROW(),0)*Portfolios!$G$12</f>
        <v>-5.5970741808414458E-2</v>
      </c>
      <c r="W35" s="260">
        <f>HLOOKUP(W$1,'Asset Returns'!$F$1:$N$109,ROW(),0)*Portfolios!$G$13</f>
        <v>-5.6234641000628468E-3</v>
      </c>
      <c r="X35" s="260">
        <f>HLOOKUP(X$1,'Asset Returns'!$F$1:$N$109,ROW(),0)*Portfolios!$G$14</f>
        <v>-1.247601509094238E-2</v>
      </c>
      <c r="Y35" s="138">
        <f>Portfolios!$R$34</f>
        <v>-0.68211369708646341</v>
      </c>
      <c r="Z35" s="138">
        <f>Portfolios!$P$11</f>
        <v>0.9378377404978776</v>
      </c>
      <c r="AA35" s="138">
        <f>Portfolios!$P$12</f>
        <v>0.64097224418739052</v>
      </c>
      <c r="AB35" s="138">
        <f>Portfolios!$P$13</f>
        <v>-2.1312105104673718</v>
      </c>
      <c r="AC35" s="138">
        <f>Portfolios!$P$14</f>
        <v>-0.78557102570241866</v>
      </c>
      <c r="AD35" s="138">
        <f>Portfolios!$P$15</f>
        <v>0.17519882647973573</v>
      </c>
      <c r="AL35" s="343">
        <f>AL34*(1+O35+'Risk Factors'!$J35)</f>
        <v>8.0299407975569309E-2</v>
      </c>
      <c r="AM35" s="343">
        <f>AM34*(1+P35+'Risk Factors'!$J35)</f>
        <v>0.14659437152030022</v>
      </c>
      <c r="AN35" s="343">
        <f>AN34*(1+Q35+'Risk Factors'!$J35)</f>
        <v>2.8275197368657509E-2</v>
      </c>
      <c r="AO35" s="343">
        <f>AO34*(1+R35+'Risk Factors'!$J35)</f>
        <v>0.28895140895683047</v>
      </c>
      <c r="AP35" s="343">
        <f>AP34*(1+S35+'Risk Factors'!$J35)</f>
        <v>0.31138031720584458</v>
      </c>
      <c r="AR35" s="343">
        <f t="shared" si="15"/>
        <v>9.3862468717358913E-2</v>
      </c>
      <c r="AS35" s="343">
        <f t="shared" si="16"/>
        <v>0.17135505675398494</v>
      </c>
      <c r="AT35" s="343">
        <f t="shared" si="17"/>
        <v>3.3051051002769838E-2</v>
      </c>
      <c r="AU35" s="343">
        <f t="shared" si="18"/>
        <v>0.33775706780178155</v>
      </c>
      <c r="AV35" s="343">
        <f t="shared" si="19"/>
        <v>0.3639743557241048</v>
      </c>
      <c r="AW35" s="418">
        <f t="shared" si="20"/>
        <v>0.85550070302720205</v>
      </c>
      <c r="AX35" s="343">
        <f t="shared" si="11"/>
        <v>-4.6933182718519317E-2</v>
      </c>
      <c r="AZ35" s="421">
        <v>41213</v>
      </c>
      <c r="BA35" s="92">
        <f>HLOOKUP(BA$1,'AC4'!$F$1:$AC$109,ROW(),0)*'Management and Hedging'!$G$10</f>
        <v>-4.6607200000000001E-3</v>
      </c>
      <c r="BB35" s="92">
        <f>HLOOKUP(BB$1,'AC4'!$F$1:$AC$109,ROW(),0)*'Management and Hedging'!$G$11</f>
        <v>-0.14933531148910523</v>
      </c>
      <c r="BC35" s="92">
        <f>IF('Management and Hedging'!$G$13="yes",BA35+BB35,CQ35)</f>
        <v>-0.15399603148910523</v>
      </c>
      <c r="BD35" s="138" t="e">
        <f>IF(IF('Management and Hedging'!$J$10="no",BL35,BO35)=0,NA(),IF('Management and Hedging'!$J$10="no",BL35,BO35))</f>
        <v>#N/A</v>
      </c>
      <c r="BE35" s="138" t="e">
        <f>IF(IF('Management and Hedging'!$J$10="no",BM35,BP35)=0,NA(),IF('Management and Hedging'!$J$10="no",BM35,BP35))</f>
        <v>#N/A</v>
      </c>
      <c r="BF35" s="138" t="e">
        <f>IF(IF('Management and Hedging'!$J$10="no",BN35,BQ35)=0,NA(),IF('Management and Hedging'!$J$10="no",BN35,BQ35))</f>
        <v>#N/A</v>
      </c>
      <c r="BG35" s="92">
        <f>IF('Management and Hedging'!$G$13="yes",BH35+BI35,CQ35)</f>
        <v>-0.15389603148910522</v>
      </c>
      <c r="BH35" s="92">
        <f>HLOOKUP(BH$1,'Asset Returns'!$F$1:$ZY$109,ROW(),0)*'Management and Hedging'!$G$10</f>
        <v>-4.6407200000000001E-3</v>
      </c>
      <c r="BI35" s="92">
        <f>HLOOKUP(BI$1,'Asset Returns'!$F$1:$ZY$109,ROW(),0)*'Management and Hedging'!$G$11</f>
        <v>-0.14925531148910523</v>
      </c>
      <c r="BJ35" s="92">
        <f>HLOOKUP(BJ$1,'AC4'!$F$1:$AC$109,ROW(),0)</f>
        <v>-2.3303600000000001E-2</v>
      </c>
      <c r="BK35" s="92">
        <f>HLOOKUP(BK$1,'AC4'!$F$1:$AC$109,ROW(),0)</f>
        <v>-0.18666913936138152</v>
      </c>
      <c r="BL35" s="138">
        <f ca="1">'Management and Hedging'!$R$34</f>
        <v>2.5919346055080732</v>
      </c>
      <c r="BM35" s="138">
        <f ca="1">'Management and Hedging'!$R$36</f>
        <v>-2.1312105104673718</v>
      </c>
      <c r="BN35" s="138">
        <f>'Management and Hedging'!$R$38</f>
        <v>-1.1865814872722835</v>
      </c>
      <c r="CK35" s="343">
        <f>CK34*(1+BA35+'Risk Factors'!$J35)</f>
        <v>0.20278231770845995</v>
      </c>
      <c r="CL35" s="343">
        <f>CL34*(1+BB35+'Risk Factors'!$J35)</f>
        <v>0.13106202252011559</v>
      </c>
      <c r="CN35" s="343">
        <f t="shared" si="9"/>
        <v>0.60741577218178855</v>
      </c>
      <c r="CO35" s="343">
        <f t="shared" si="12"/>
        <v>0.3925842278182114</v>
      </c>
      <c r="CP35" s="418">
        <f t="shared" si="10"/>
        <v>0.33384434022857556</v>
      </c>
      <c r="CQ35" s="343">
        <f t="shared" si="13"/>
        <v>-6.6857234688390776E-2</v>
      </c>
      <c r="CS35" s="92"/>
      <c r="CT35" s="260"/>
      <c r="CU35" s="260"/>
      <c r="CV35" s="260"/>
      <c r="CW35" s="260"/>
      <c r="CX35" s="260"/>
      <c r="CY35" s="260"/>
      <c r="CZ35" s="260"/>
      <c r="DB35" s="325"/>
      <c r="DC35" s="92"/>
      <c r="DD35" s="92"/>
      <c r="DE35" s="260"/>
      <c r="DF35" s="260"/>
      <c r="DG35" s="260"/>
      <c r="DH35" s="260"/>
      <c r="DI35" s="260"/>
    </row>
    <row r="36" spans="6:113">
      <c r="F36" s="421">
        <v>41243</v>
      </c>
      <c r="G36" s="92">
        <f>IF(Portfolios!$G$16="yes",SUM(T36:X36),AX36)</f>
        <v>-1.5517467074096203E-2</v>
      </c>
      <c r="H36" s="138" t="e">
        <f>IF(IF(Portfolios!$J$10="no",'AC3'!Y36,'AC3'!AE36)=0,NA(),IF(Portfolios!$J$10="no",Y36,AE36))</f>
        <v>#N/A</v>
      </c>
      <c r="I36" s="138" t="e">
        <f>IF(Portfolios!$J$11="no",NA(),IF(IF(Portfolios!$J$10="no",'AC3'!Z36,'AC3'!AF36)=0,NA(),IF(Portfolios!$J$10="no",Z36,AF36)))</f>
        <v>#N/A</v>
      </c>
      <c r="J36" s="138" t="e">
        <f>IF(Portfolios!$J$11="no",NA(),IF(IF(Portfolios!$J$10="no",'AC3'!AA36,'AC3'!AG36)=0,NA(),IF(Portfolios!$J$10="no",AA36,AG36)))</f>
        <v>#N/A</v>
      </c>
      <c r="K36" s="138" t="e">
        <f>IF(Portfolios!$J$11="no",NA(),IF(IF(Portfolios!$J$10="no",'AC3'!AB36,'AC3'!AH36)=0,NA(),IF(Portfolios!$J$10="no",AB36,AH36)))</f>
        <v>#N/A</v>
      </c>
      <c r="L36" s="138" t="e">
        <f>IF(Portfolios!$J$11="no",NA(),IF(IF(Portfolios!$J$10="no",'AC3'!AC36,'AC3'!AI36)=0,NA(),IF(Portfolios!$J$10="no",AC36,AI36)))</f>
        <v>#N/A</v>
      </c>
      <c r="M36" s="138" t="e">
        <f>IF(Portfolios!$J$11="no",NA(),IF(IF(Portfolios!$J$10="no",'AC3'!AD36,'AC3'!AJ36)=0,NA(),IF(Portfolios!$J$10="no",AD36,AJ36)))</f>
        <v>#N/A</v>
      </c>
      <c r="N36" s="92">
        <f>G36-'Risk Factors'!J36</f>
        <v>-1.5617467074096203E-2</v>
      </c>
      <c r="O36" s="260">
        <f>HLOOKUP(O$1,'Asset Returns'!$F$1:$N$109,ROW(),0)-'Risk Factors'!$J36</f>
        <v>-1.9175492396950721E-2</v>
      </c>
      <c r="P36" s="260">
        <f>HLOOKUP(P$1,'Asset Returns'!$F$1:$N$109,ROW(),0)-'Risk Factors'!$J36</f>
        <v>6.1364730650186536E-2</v>
      </c>
      <c r="Q36" s="260">
        <f>HLOOKUP(Q$1,'Asset Returns'!$F$1:$N$109,ROW(),0)-'Risk Factors'!$J36</f>
        <v>-0.17122363874912261</v>
      </c>
      <c r="R36" s="260">
        <f>HLOOKUP(R$1,'Asset Returns'!$F$1:$N$109,ROW(),0)-'Risk Factors'!$J36</f>
        <v>0.1176239790558815</v>
      </c>
      <c r="S36" s="260">
        <f>HLOOKUP(S$1,'Asset Returns'!$F$1:$N$109,ROW(),0)-'Risk Factors'!$J36</f>
        <v>-1.8782464957237243E-2</v>
      </c>
      <c r="T36" s="260">
        <f>HLOOKUP(T$1,'Asset Returns'!$F$1:$N$109,ROW(),0)*Portfolios!$G$10</f>
        <v>-1.9075492396950723E-3</v>
      </c>
      <c r="U36" s="260">
        <f>HLOOKUP(U$1,'Asset Returns'!$F$1:$N$109,ROW(),0)*Portfolios!$G$11</f>
        <v>6.146473065018654E-3</v>
      </c>
      <c r="V36" s="260">
        <f>HLOOKUP(V$1,'Asset Returns'!$F$1:$N$109,ROW(),0)*Portfolios!$G$12</f>
        <v>-5.1337091624736785E-2</v>
      </c>
      <c r="W36" s="260">
        <f>HLOOKUP(W$1,'Asset Returns'!$F$1:$N$109,ROW(),0)*Portfolios!$G$13</f>
        <v>3.531719371676445E-2</v>
      </c>
      <c r="X36" s="260">
        <f>HLOOKUP(X$1,'Asset Returns'!$F$1:$N$109,ROW(),0)*Portfolios!$G$14</f>
        <v>-3.7364929914474477E-3</v>
      </c>
      <c r="Y36" s="138">
        <f>Portfolios!$R$34</f>
        <v>-0.68211369708646341</v>
      </c>
      <c r="Z36" s="138">
        <f>Portfolios!$P$11</f>
        <v>0.9378377404978776</v>
      </c>
      <c r="AA36" s="138">
        <f>Portfolios!$P$12</f>
        <v>0.64097224418739052</v>
      </c>
      <c r="AB36" s="138">
        <f>Portfolios!$P$13</f>
        <v>-2.1312105104673718</v>
      </c>
      <c r="AC36" s="138">
        <f>Portfolios!$P$14</f>
        <v>-0.78557102570241866</v>
      </c>
      <c r="AD36" s="138">
        <f>Portfolios!$P$15</f>
        <v>0.17519882647973573</v>
      </c>
      <c r="AL36" s="343">
        <f>AL35*(1+O36+'Risk Factors'!$J36)</f>
        <v>7.8767657229251692E-2</v>
      </c>
      <c r="AM36" s="343">
        <f>AM35*(1+P36+'Risk Factors'!$J36)</f>
        <v>0.15560475508062885</v>
      </c>
      <c r="AN36" s="343">
        <f>AN35*(1+Q36+'Risk Factors'!$J36)</f>
        <v>2.343664270858322E-2</v>
      </c>
      <c r="AO36" s="343">
        <f>AO35*(1+R36+'Risk Factors'!$J36)</f>
        <v>0.32296791857303181</v>
      </c>
      <c r="AP36" s="343">
        <f>AP35*(1+S36+'Risk Factors'!$J36)</f>
        <v>0.30556296534127297</v>
      </c>
      <c r="AR36" s="343">
        <f t="shared" si="15"/>
        <v>8.8868450770812485E-2</v>
      </c>
      <c r="AS36" s="343">
        <f t="shared" si="16"/>
        <v>0.1755587763177982</v>
      </c>
      <c r="AT36" s="343">
        <f t="shared" si="17"/>
        <v>2.6442047434760755E-2</v>
      </c>
      <c r="AU36" s="343">
        <f t="shared" si="18"/>
        <v>0.36438380398598941</v>
      </c>
      <c r="AV36" s="343">
        <f t="shared" si="19"/>
        <v>0.34474692149063901</v>
      </c>
      <c r="AW36" s="418">
        <f t="shared" si="20"/>
        <v>0.88633993893276863</v>
      </c>
      <c r="AX36" s="343">
        <f t="shared" si="11"/>
        <v>3.6048171318201705E-2</v>
      </c>
      <c r="AZ36" s="421">
        <v>41243</v>
      </c>
      <c r="BA36" s="92">
        <f>HLOOKUP(BA$1,'AC4'!$F$1:$AC$109,ROW(),0)*'Management and Hedging'!$G$10</f>
        <v>-1.7338000000000003E-2</v>
      </c>
      <c r="BB36" s="92">
        <f>HLOOKUP(BB$1,'AC4'!$F$1:$AC$109,ROW(),0)*'Management and Hedging'!$G$11</f>
        <v>-0.1369789109992981</v>
      </c>
      <c r="BC36" s="92">
        <f>IF('Management and Hedging'!$G$13="yes",BA36+BB36,CQ36)</f>
        <v>-0.15431691099929809</v>
      </c>
      <c r="BD36" s="138" t="e">
        <f>IF(IF('Management and Hedging'!$J$10="no",BL36,BO36)=0,NA(),IF('Management and Hedging'!$J$10="no",BL36,BO36))</f>
        <v>#N/A</v>
      </c>
      <c r="BE36" s="138" t="e">
        <f>IF(IF('Management and Hedging'!$J$10="no",BM36,BP36)=0,NA(),IF('Management and Hedging'!$J$10="no",BM36,BP36))</f>
        <v>#N/A</v>
      </c>
      <c r="BF36" s="138" t="e">
        <f>IF(IF('Management and Hedging'!$J$10="no",BN36,BQ36)=0,NA(),IF('Management and Hedging'!$J$10="no",BN36,BQ36))</f>
        <v>#N/A</v>
      </c>
      <c r="BG36" s="92">
        <f>IF('Management and Hedging'!$G$13="yes",BH36+BI36,CQ36)</f>
        <v>-0.1542169109992981</v>
      </c>
      <c r="BH36" s="92">
        <f>HLOOKUP(BH$1,'Asset Returns'!$F$1:$ZY$109,ROW(),0)*'Management and Hedging'!$G$10</f>
        <v>-1.7318E-2</v>
      </c>
      <c r="BI36" s="92">
        <f>HLOOKUP(BI$1,'Asset Returns'!$F$1:$ZY$109,ROW(),0)*'Management and Hedging'!$G$11</f>
        <v>-0.1368989109992981</v>
      </c>
      <c r="BJ36" s="92">
        <f>HLOOKUP(BJ$1,'AC4'!$F$1:$AC$109,ROW(),0)</f>
        <v>-8.6690000000000003E-2</v>
      </c>
      <c r="BK36" s="92">
        <f>HLOOKUP(BK$1,'AC4'!$F$1:$AC$109,ROW(),0)</f>
        <v>-0.17122363874912261</v>
      </c>
      <c r="BL36" s="138">
        <f ca="1">'Management and Hedging'!$R$34</f>
        <v>2.5919346055080732</v>
      </c>
      <c r="BM36" s="138">
        <f ca="1">'Management and Hedging'!$R$36</f>
        <v>-2.1312105104673718</v>
      </c>
      <c r="BN36" s="138">
        <f>'Management and Hedging'!$R$38</f>
        <v>-1.1865814872722835</v>
      </c>
      <c r="CK36" s="343">
        <f>CK35*(1+BA36+'Risk Factors'!$J36)</f>
        <v>0.19928675611580152</v>
      </c>
      <c r="CL36" s="343">
        <f>CL35*(1+BB36+'Risk Factors'!$J36)</f>
        <v>0.11312239560419669</v>
      </c>
      <c r="CN36" s="343">
        <f t="shared" si="9"/>
        <v>0.63790306723925783</v>
      </c>
      <c r="CO36" s="343">
        <f t="shared" si="12"/>
        <v>0.36209693276074217</v>
      </c>
      <c r="CP36" s="418">
        <f t="shared" si="10"/>
        <v>0.31240915171999822</v>
      </c>
      <c r="CQ36" s="343">
        <f t="shared" si="13"/>
        <v>-6.4207134660126841E-2</v>
      </c>
      <c r="CS36" s="92"/>
      <c r="CT36" s="260"/>
      <c r="CU36" s="260"/>
      <c r="CV36" s="260"/>
      <c r="CW36" s="260"/>
      <c r="CX36" s="260"/>
      <c r="CY36" s="260"/>
      <c r="CZ36" s="260"/>
      <c r="DB36" s="325"/>
      <c r="DC36" s="92"/>
      <c r="DD36" s="92"/>
      <c r="DE36" s="260"/>
      <c r="DF36" s="260"/>
      <c r="DG36" s="260"/>
      <c r="DH36" s="260"/>
      <c r="DI36" s="260"/>
    </row>
    <row r="37" spans="6:113">
      <c r="F37" s="421">
        <v>41274</v>
      </c>
      <c r="G37" s="92">
        <f>IF(Portfolios!$G$16="yes",SUM(T37:X37),AX37)</f>
        <v>9.0870131459087122E-2</v>
      </c>
      <c r="H37" s="138" t="e">
        <f>IF(IF(Portfolios!$J$10="no",'AC3'!Y37,'AC3'!AE37)=0,NA(),IF(Portfolios!$J$10="no",Y37,AE37))</f>
        <v>#N/A</v>
      </c>
      <c r="I37" s="138" t="e">
        <f>IF(Portfolios!$J$11="no",NA(),IF(IF(Portfolios!$J$10="no",'AC3'!Z37,'AC3'!AF37)=0,NA(),IF(Portfolios!$J$10="no",Z37,AF37)))</f>
        <v>#N/A</v>
      </c>
      <c r="J37" s="138" t="e">
        <f>IF(Portfolios!$J$11="no",NA(),IF(IF(Portfolios!$J$10="no",'AC3'!AA37,'AC3'!AG37)=0,NA(),IF(Portfolios!$J$10="no",AA37,AG37)))</f>
        <v>#N/A</v>
      </c>
      <c r="K37" s="138" t="e">
        <f>IF(Portfolios!$J$11="no",NA(),IF(IF(Portfolios!$J$10="no",'AC3'!AB37,'AC3'!AH37)=0,NA(),IF(Portfolios!$J$10="no",AB37,AH37)))</f>
        <v>#N/A</v>
      </c>
      <c r="L37" s="138" t="e">
        <f>IF(Portfolios!$J$11="no",NA(),IF(IF(Portfolios!$J$10="no",'AC3'!AC37,'AC3'!AI37)=0,NA(),IF(Portfolios!$J$10="no",AC37,AI37)))</f>
        <v>#N/A</v>
      </c>
      <c r="M37" s="138" t="e">
        <f>IF(Portfolios!$J$11="no",NA(),IF(IF(Portfolios!$J$10="no",'AC3'!AD37,'AC3'!AJ37)=0,NA(),IF(Portfolios!$J$10="no",AD37,AJ37)))</f>
        <v>#N/A</v>
      </c>
      <c r="N37" s="92">
        <f>G37-'Risk Factors'!J37</f>
        <v>9.0770131459087119E-2</v>
      </c>
      <c r="O37" s="260">
        <f>HLOOKUP(O$1,'Asset Returns'!$F$1:$N$109,ROW(),0)-'Risk Factors'!$J37</f>
        <v>-1.9244059756398201E-3</v>
      </c>
      <c r="P37" s="260">
        <f>HLOOKUP(P$1,'Asset Returns'!$F$1:$N$109,ROW(),0)-'Risk Factors'!$J37</f>
        <v>0.13491012325286866</v>
      </c>
      <c r="Q37" s="260">
        <f>HLOOKUP(Q$1,'Asset Returns'!$F$1:$N$109,ROW(),0)-'Risk Factors'!$J37</f>
        <v>0.17277388443946839</v>
      </c>
      <c r="R37" s="260">
        <f>HLOOKUP(R$1,'Asset Returns'!$F$1:$N$109,ROW(),0)-'Risk Factors'!$J37</f>
        <v>8.0406905913352963E-2</v>
      </c>
      <c r="S37" s="260">
        <f>HLOOKUP(S$1,'Asset Returns'!$F$1:$N$109,ROW(),0)-'Risk Factors'!$J37</f>
        <v>7.5866131275892255E-3</v>
      </c>
      <c r="T37" s="260">
        <f>HLOOKUP(T$1,'Asset Returns'!$F$1:$N$109,ROW(),0)*Portfolios!$G$10</f>
        <v>-1.8244059756398202E-4</v>
      </c>
      <c r="U37" s="260">
        <f>HLOOKUP(U$1,'Asset Returns'!$F$1:$N$109,ROW(),0)*Portfolios!$G$11</f>
        <v>1.3501012325286867E-2</v>
      </c>
      <c r="V37" s="260">
        <f>HLOOKUP(V$1,'Asset Returns'!$F$1:$N$109,ROW(),0)*Portfolios!$G$12</f>
        <v>5.1862165331840515E-2</v>
      </c>
      <c r="W37" s="260">
        <f>HLOOKUP(W$1,'Asset Returns'!$F$1:$N$109,ROW(),0)*Portfolios!$G$13</f>
        <v>2.4152071774005888E-2</v>
      </c>
      <c r="X37" s="260">
        <f>HLOOKUP(X$1,'Asset Returns'!$F$1:$N$109,ROW(),0)*Portfolios!$G$14</f>
        <v>1.5373226255178448E-3</v>
      </c>
      <c r="Y37" s="138">
        <f>Portfolios!$R$34</f>
        <v>-0.68211369708646341</v>
      </c>
      <c r="Z37" s="138">
        <f>Portfolios!$P$11</f>
        <v>0.9378377404978776</v>
      </c>
      <c r="AA37" s="138">
        <f>Portfolios!$P$12</f>
        <v>0.64097224418739052</v>
      </c>
      <c r="AB37" s="138">
        <f>Portfolios!$P$13</f>
        <v>-2.1312105104673718</v>
      </c>
      <c r="AC37" s="138">
        <f>Portfolios!$P$14</f>
        <v>-0.78557102570241866</v>
      </c>
      <c r="AD37" s="138">
        <f>Portfolios!$P$15</f>
        <v>0.17519882647973573</v>
      </c>
      <c r="AL37" s="343">
        <f>AL36*(1+O37+'Risk Factors'!$J37)</f>
        <v>7.8623953044715492E-2</v>
      </c>
      <c r="AM37" s="343">
        <f>AM36*(1+P37+'Risk Factors'!$J37)</f>
        <v>0.17661297224279698</v>
      </c>
      <c r="AN37" s="343">
        <f>AN36*(1+Q37+'Risk Factors'!$J37)</f>
        <v>2.7488226171835946E-2</v>
      </c>
      <c r="AO37" s="343">
        <f>AO36*(1+R37+'Risk Factors'!$J37)</f>
        <v>0.34896906640662234</v>
      </c>
      <c r="AP37" s="343">
        <f>AP36*(1+S37+'Risk Factors'!$J37)</f>
        <v>0.30791170964197029</v>
      </c>
      <c r="AR37" s="343">
        <f t="shared" si="15"/>
        <v>8.3677583062130051E-2</v>
      </c>
      <c r="AS37" s="343">
        <f t="shared" si="16"/>
        <v>0.18796494048437593</v>
      </c>
      <c r="AT37" s="343">
        <f t="shared" si="17"/>
        <v>2.9255058282509214E-2</v>
      </c>
      <c r="AU37" s="343">
        <f t="shared" si="18"/>
        <v>0.37139938796700811</v>
      </c>
      <c r="AV37" s="343">
        <f t="shared" si="19"/>
        <v>0.32770303020397662</v>
      </c>
      <c r="AW37" s="418">
        <f t="shared" si="20"/>
        <v>0.93960592750794114</v>
      </c>
      <c r="AX37" s="343">
        <f t="shared" si="11"/>
        <v>6.0096568185012078E-2</v>
      </c>
      <c r="AZ37" s="421">
        <v>41274</v>
      </c>
      <c r="BA37" s="92">
        <f>HLOOKUP(BA$1,'AC4'!$F$1:$AC$109,ROW(),0)*'Management and Hedging'!$G$10</f>
        <v>-3.7112799999999995E-3</v>
      </c>
      <c r="BB37" s="92">
        <f>HLOOKUP(BB$1,'AC4'!$F$1:$AC$109,ROW(),0)*'Management and Hedging'!$G$11</f>
        <v>0.13821910755157471</v>
      </c>
      <c r="BC37" s="92">
        <f>IF('Management and Hedging'!$G$13="yes",BA37+BB37,CQ37)</f>
        <v>0.1345078275515747</v>
      </c>
      <c r="BD37" s="138" t="e">
        <f>IF(IF('Management and Hedging'!$J$10="no",BL37,BO37)=0,NA(),IF('Management and Hedging'!$J$10="no",BL37,BO37))</f>
        <v>#N/A</v>
      </c>
      <c r="BE37" s="138" t="e">
        <f>IF(IF('Management and Hedging'!$J$10="no",BM37,BP37)=0,NA(),IF('Management and Hedging'!$J$10="no",BM37,BP37))</f>
        <v>#N/A</v>
      </c>
      <c r="BF37" s="138" t="e">
        <f>IF(IF('Management and Hedging'!$J$10="no",BN37,BQ37)=0,NA(),IF('Management and Hedging'!$J$10="no",BN37,BQ37))</f>
        <v>#N/A</v>
      </c>
      <c r="BG37" s="92">
        <f>IF('Management and Hedging'!$G$13="yes",BH37+BI37,CQ37)</f>
        <v>0.13460782755157472</v>
      </c>
      <c r="BH37" s="92">
        <f>HLOOKUP(BH$1,'Asset Returns'!$F$1:$ZY$109,ROW(),0)*'Management and Hedging'!$G$10</f>
        <v>-3.6912799999999999E-3</v>
      </c>
      <c r="BI37" s="92">
        <f>HLOOKUP(BI$1,'Asset Returns'!$F$1:$ZY$109,ROW(),0)*'Management and Hedging'!$G$11</f>
        <v>0.13829910755157471</v>
      </c>
      <c r="BJ37" s="92">
        <f>HLOOKUP(BJ$1,'AC4'!$F$1:$AC$109,ROW(),0)</f>
        <v>-1.8556399999999997E-2</v>
      </c>
      <c r="BK37" s="92">
        <f>HLOOKUP(BK$1,'AC4'!$F$1:$AC$109,ROW(),0)</f>
        <v>0.17277388443946839</v>
      </c>
      <c r="BL37" s="138">
        <f ca="1">'Management and Hedging'!$R$34</f>
        <v>2.5919346055080732</v>
      </c>
      <c r="BM37" s="138">
        <f ca="1">'Management and Hedging'!$R$36</f>
        <v>-2.1312105104673718</v>
      </c>
      <c r="BN37" s="138">
        <f>'Management and Hedging'!$R$38</f>
        <v>-1.1865814872722835</v>
      </c>
      <c r="CK37" s="343">
        <f>CK36*(1+BA37+'Risk Factors'!$J37)</f>
        <v>0.19856707583917566</v>
      </c>
      <c r="CL37" s="343">
        <f>CL36*(1+BB37+'Risk Factors'!$J37)</f>
        <v>0.12876938440826535</v>
      </c>
      <c r="CN37" s="343">
        <f t="shared" si="9"/>
        <v>0.606614599819019</v>
      </c>
      <c r="CO37" s="343">
        <f t="shared" si="12"/>
        <v>0.393385400180981</v>
      </c>
      <c r="CP37" s="418">
        <f t="shared" si="10"/>
        <v>0.32733646024744101</v>
      </c>
      <c r="CQ37" s="343">
        <f t="shared" si="13"/>
        <v>4.7781277997968497E-2</v>
      </c>
      <c r="CS37" s="92"/>
      <c r="CT37" s="260"/>
      <c r="CU37" s="260"/>
      <c r="CV37" s="260"/>
      <c r="CW37" s="260"/>
      <c r="CX37" s="260"/>
      <c r="CY37" s="260"/>
      <c r="CZ37" s="260"/>
      <c r="DB37" s="325"/>
      <c r="DC37" s="92"/>
      <c r="DD37" s="92"/>
      <c r="DE37" s="260"/>
      <c r="DF37" s="260"/>
      <c r="DG37" s="260"/>
      <c r="DH37" s="260"/>
      <c r="DI37" s="260"/>
    </row>
    <row r="38" spans="6:113">
      <c r="F38" s="421">
        <v>41305</v>
      </c>
      <c r="G38" s="92">
        <f>IF(Portfolios!$G$16="yes",SUM(T38:X38),AX38)</f>
        <v>4.8826960287988184E-2</v>
      </c>
      <c r="H38" s="138" t="e">
        <f>IF(IF(Portfolios!$J$10="no",'AC3'!Y38,'AC3'!AE38)=0,NA(),IF(Portfolios!$J$10="no",Y38,AE38))</f>
        <v>#N/A</v>
      </c>
      <c r="I38" s="138" t="e">
        <f>IF(Portfolios!$J$11="no",NA(),IF(IF(Portfolios!$J$10="no",'AC3'!Z38,'AC3'!AF38)=0,NA(),IF(Portfolios!$J$10="no",Z38,AF38)))</f>
        <v>#N/A</v>
      </c>
      <c r="J38" s="138" t="e">
        <f>IF(Portfolios!$J$11="no",NA(),IF(IF(Portfolios!$J$10="no",'AC3'!AA38,'AC3'!AG38)=0,NA(),IF(Portfolios!$J$10="no",AA38,AG38)))</f>
        <v>#N/A</v>
      </c>
      <c r="K38" s="138" t="e">
        <f>IF(Portfolios!$J$11="no",NA(),IF(IF(Portfolios!$J$10="no",'AC3'!AB38,'AC3'!AH38)=0,NA(),IF(Portfolios!$J$10="no",AB38,AH38)))</f>
        <v>#N/A</v>
      </c>
      <c r="L38" s="138" t="e">
        <f>IF(Portfolios!$J$11="no",NA(),IF(IF(Portfolios!$J$10="no",'AC3'!AC38,'AC3'!AI38)=0,NA(),IF(Portfolios!$J$10="no",AC38,AI38)))</f>
        <v>#N/A</v>
      </c>
      <c r="M38" s="138" t="e">
        <f>IF(Portfolios!$J$11="no",NA(),IF(IF(Portfolios!$J$10="no",'AC3'!AD38,'AC3'!AJ38)=0,NA(),IF(Portfolios!$J$10="no",AD38,AJ38)))</f>
        <v>#N/A</v>
      </c>
      <c r="N38" s="92">
        <f>G38-'Risk Factors'!J38</f>
        <v>4.8826960287988184E-2</v>
      </c>
      <c r="O38" s="260">
        <f>HLOOKUP(O$1,'Asset Returns'!$F$1:$N$109,ROW(),0)-'Risk Factors'!$J38</f>
        <v>7.1681596338748932E-2</v>
      </c>
      <c r="P38" s="260">
        <f>HLOOKUP(P$1,'Asset Returns'!$F$1:$N$109,ROW(),0)-'Risk Factors'!$J38</f>
        <v>-1.8185602501034737E-2</v>
      </c>
      <c r="Q38" s="260">
        <f>HLOOKUP(Q$1,'Asset Returns'!$F$1:$N$109,ROW(),0)-'Risk Factors'!$J38</f>
        <v>7.2205275297164917E-2</v>
      </c>
      <c r="R38" s="260">
        <f>HLOOKUP(R$1,'Asset Returns'!$F$1:$N$109,ROW(),0)-'Risk Factors'!$J38</f>
        <v>3.2625295221805573E-2</v>
      </c>
      <c r="S38" s="260">
        <f>HLOOKUP(S$1,'Asset Returns'!$F$1:$N$109,ROW(),0)-'Risk Factors'!$J38</f>
        <v>6.0140948742628098E-2</v>
      </c>
      <c r="T38" s="260">
        <f>HLOOKUP(T$1,'Asset Returns'!$F$1:$N$109,ROW(),0)*Portfolios!$G$10</f>
        <v>7.1681596338748939E-3</v>
      </c>
      <c r="U38" s="260">
        <f>HLOOKUP(U$1,'Asset Returns'!$F$1:$N$109,ROW(),0)*Portfolios!$G$11</f>
        <v>-1.8185602501034738E-3</v>
      </c>
      <c r="V38" s="260">
        <f>HLOOKUP(V$1,'Asset Returns'!$F$1:$N$109,ROW(),0)*Portfolios!$G$12</f>
        <v>2.1661582589149474E-2</v>
      </c>
      <c r="W38" s="260">
        <f>HLOOKUP(W$1,'Asset Returns'!$F$1:$N$109,ROW(),0)*Portfolios!$G$13</f>
        <v>9.7875885665416711E-3</v>
      </c>
      <c r="X38" s="260">
        <f>HLOOKUP(X$1,'Asset Returns'!$F$1:$N$109,ROW(),0)*Portfolios!$G$14</f>
        <v>1.2028189748525616E-2</v>
      </c>
      <c r="Y38" s="138">
        <f>Portfolios!$R$34</f>
        <v>-0.68211369708646341</v>
      </c>
      <c r="Z38" s="138">
        <f>Portfolios!$P$11</f>
        <v>0.9378377404978776</v>
      </c>
      <c r="AA38" s="138">
        <f>Portfolios!$P$12</f>
        <v>0.64097224418739052</v>
      </c>
      <c r="AB38" s="138">
        <f>Portfolios!$P$13</f>
        <v>-2.1312105104673718</v>
      </c>
      <c r="AC38" s="138">
        <f>Portfolios!$P$14</f>
        <v>-0.78557102570241866</v>
      </c>
      <c r="AD38" s="138">
        <f>Portfolios!$P$15</f>
        <v>0.17519882647973573</v>
      </c>
      <c r="AE38" s="183"/>
      <c r="AF38" s="183"/>
      <c r="AG38" s="183"/>
      <c r="AH38" s="183"/>
      <c r="AI38" s="183"/>
      <c r="AJ38" s="183"/>
      <c r="AL38" s="343">
        <f>AL37*(1+O38+'Risk Factors'!$J38)</f>
        <v>8.4259843509423532E-2</v>
      </c>
      <c r="AM38" s="343">
        <f>AM37*(1+P38+'Risk Factors'!$J38)</f>
        <v>0.17340115893306321</v>
      </c>
      <c r="AN38" s="343">
        <f>AN37*(1+Q38+'Risk Factors'!$J38)</f>
        <v>2.9473021110004095E-2</v>
      </c>
      <c r="AO38" s="343">
        <f>AO37*(1+R38+'Risk Factors'!$J38)</f>
        <v>0.36035428522141627</v>
      </c>
      <c r="AP38" s="343">
        <f>AP37*(1+S38+'Risk Factors'!$J38)</f>
        <v>0.326429811988803</v>
      </c>
      <c r="AR38" s="343">
        <f t="shared" si="15"/>
        <v>8.6516352569183774E-2</v>
      </c>
      <c r="AS38" s="343">
        <f t="shared" si="16"/>
        <v>0.17804490463455649</v>
      </c>
      <c r="AT38" s="343">
        <f t="shared" si="17"/>
        <v>3.0262319266554684E-2</v>
      </c>
      <c r="AU38" s="343">
        <f t="shared" si="18"/>
        <v>0.37000470320770901</v>
      </c>
      <c r="AV38" s="343">
        <f t="shared" si="19"/>
        <v>0.33517172032199599</v>
      </c>
      <c r="AW38" s="418">
        <f t="shared" si="20"/>
        <v>0.97391812076271012</v>
      </c>
      <c r="AX38" s="343">
        <f t="shared" si="11"/>
        <v>3.6517642396928229E-2</v>
      </c>
      <c r="AZ38" s="421">
        <v>41305</v>
      </c>
      <c r="BA38" s="92">
        <f>HLOOKUP(BA$1,'AC4'!$F$1:$AC$109,ROW(),0)*'Management and Hedging'!$G$10</f>
        <v>-1.1794880000000001E-2</v>
      </c>
      <c r="BB38" s="92">
        <f>HLOOKUP(BB$1,'AC4'!$F$1:$AC$109,ROW(),0)*'Management and Hedging'!$G$11</f>
        <v>5.7764220237731936E-2</v>
      </c>
      <c r="BC38" s="92">
        <f>IF('Management and Hedging'!$G$13="yes",BA38+BB38,CQ38)</f>
        <v>4.5969340237731936E-2</v>
      </c>
      <c r="BD38" s="138" t="e">
        <f>IF(IF('Management and Hedging'!$J$10="no",BL38,BO38)=0,NA(),IF('Management and Hedging'!$J$10="no",BL38,BO38))</f>
        <v>#N/A</v>
      </c>
      <c r="BE38" s="138" t="e">
        <f>IF(IF('Management and Hedging'!$J$10="no",BM38,BP38)=0,NA(),IF('Management and Hedging'!$J$10="no",BM38,BP38))</f>
        <v>#N/A</v>
      </c>
      <c r="BF38" s="138" t="e">
        <f>IF(IF('Management and Hedging'!$J$10="no",BN38,BQ38)=0,NA(),IF('Management and Hedging'!$J$10="no",BN38,BQ38))</f>
        <v>#N/A</v>
      </c>
      <c r="BG38" s="92">
        <f>IF('Management and Hedging'!$G$13="yes",BH38+BI38,CQ38)</f>
        <v>4.5969340237731936E-2</v>
      </c>
      <c r="BH38" s="92">
        <f>HLOOKUP(BH$1,'Asset Returns'!$F$1:$ZY$109,ROW(),0)*'Management and Hedging'!$G$10</f>
        <v>-1.1794880000000001E-2</v>
      </c>
      <c r="BI38" s="92">
        <f>HLOOKUP(BI$1,'Asset Returns'!$F$1:$ZY$109,ROW(),0)*'Management and Hedging'!$G$11</f>
        <v>5.7764220237731936E-2</v>
      </c>
      <c r="BJ38" s="92">
        <f>HLOOKUP(BJ$1,'AC4'!$F$1:$AC$109,ROW(),0)</f>
        <v>-5.8974399999999996E-2</v>
      </c>
      <c r="BK38" s="92">
        <f>HLOOKUP(BK$1,'AC4'!$F$1:$AC$109,ROW(),0)</f>
        <v>7.2205275297164917E-2</v>
      </c>
      <c r="BL38" s="138">
        <f ca="1">'Management and Hedging'!$R$34</f>
        <v>2.5919346055080732</v>
      </c>
      <c r="BM38" s="138">
        <f ca="1">'Management and Hedging'!$R$36</f>
        <v>-2.1312105104673718</v>
      </c>
      <c r="BN38" s="138">
        <f>'Management and Hedging'!$R$38</f>
        <v>-1.1865814872722835</v>
      </c>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343">
        <f>CK37*(1+BA38+'Risk Factors'!$J38)</f>
        <v>0.19622500100770168</v>
      </c>
      <c r="CL38" s="343">
        <f>CL37*(1+BB38+'Risk Factors'!$J38)</f>
        <v>0.13620764748910155</v>
      </c>
      <c r="CN38" s="343">
        <f t="shared" si="9"/>
        <v>0.59026994458875681</v>
      </c>
      <c r="CO38" s="343">
        <f t="shared" si="12"/>
        <v>0.4097300554112433</v>
      </c>
      <c r="CP38" s="418">
        <f t="shared" si="10"/>
        <v>0.33243264849680321</v>
      </c>
      <c r="CQ38" s="343">
        <f t="shared" si="13"/>
        <v>1.5568654483248956E-2</v>
      </c>
      <c r="CS38" s="92"/>
      <c r="CT38" s="260"/>
      <c r="CU38" s="260"/>
      <c r="CV38" s="260"/>
      <c r="CW38" s="260"/>
      <c r="CX38" s="260"/>
      <c r="CY38" s="260"/>
      <c r="CZ38" s="260"/>
      <c r="DB38" s="325"/>
      <c r="DC38" s="92"/>
      <c r="DD38" s="92"/>
      <c r="DE38" s="260"/>
      <c r="DF38" s="260"/>
      <c r="DG38" s="260"/>
      <c r="DH38" s="260"/>
      <c r="DI38" s="260"/>
    </row>
    <row r="39" spans="6:113">
      <c r="F39" s="421">
        <v>41333</v>
      </c>
      <c r="G39" s="92">
        <f>IF(Portfolios!$G$16="yes",SUM(T39:X39),AX39)</f>
        <v>6.5094616077840339E-2</v>
      </c>
      <c r="H39" s="138" t="e">
        <f>IF(IF(Portfolios!$J$10="no",'AC3'!Y39,'AC3'!AE39)=0,NA(),IF(Portfolios!$J$10="no",Y39,AE39))</f>
        <v>#N/A</v>
      </c>
      <c r="I39" s="138" t="e">
        <f>IF(Portfolios!$J$11="no",NA(),IF(IF(Portfolios!$J$10="no",'AC3'!Z39,'AC3'!AF39)=0,NA(),IF(Portfolios!$J$10="no",Z39,AF39)))</f>
        <v>#N/A</v>
      </c>
      <c r="J39" s="138" t="e">
        <f>IF(Portfolios!$J$11="no",NA(),IF(IF(Portfolios!$J$10="no",'AC3'!AA39,'AC3'!AG39)=0,NA(),IF(Portfolios!$J$10="no",AA39,AG39)))</f>
        <v>#N/A</v>
      </c>
      <c r="K39" s="138" t="e">
        <f>IF(Portfolios!$J$11="no",NA(),IF(IF(Portfolios!$J$10="no",'AC3'!AB39,'AC3'!AH39)=0,NA(),IF(Portfolios!$J$10="no",AB39,AH39)))</f>
        <v>#N/A</v>
      </c>
      <c r="L39" s="138" t="e">
        <f>IF(Portfolios!$J$11="no",NA(),IF(IF(Portfolios!$J$10="no",'AC3'!AC39,'AC3'!AI39)=0,NA(),IF(Portfolios!$J$10="no",AC39,AI39)))</f>
        <v>#N/A</v>
      </c>
      <c r="M39" s="138" t="e">
        <f>IF(Portfolios!$J$11="no",NA(),IF(IF(Portfolios!$J$10="no",'AC3'!AD39,'AC3'!AJ39)=0,NA(),IF(Portfolios!$J$10="no",AD39,AJ39)))</f>
        <v>#N/A</v>
      </c>
      <c r="N39" s="92">
        <f>G39-'Risk Factors'!J39</f>
        <v>6.5094616077840339E-2</v>
      </c>
      <c r="O39" s="260">
        <f>HLOOKUP(O$1,'Asset Returns'!$F$1:$N$109,ROW(),0)-'Risk Factors'!$J39</f>
        <v>-7.3647074401378632E-2</v>
      </c>
      <c r="P39" s="260">
        <f>HLOOKUP(P$1,'Asset Returns'!$F$1:$N$109,ROW(),0)-'Risk Factors'!$J39</f>
        <v>-5.6616306304931641E-2</v>
      </c>
      <c r="Q39" s="260">
        <f>HLOOKUP(Q$1,'Asset Returns'!$F$1:$N$109,ROW(),0)-'Risk Factors'!$J39</f>
        <v>0.18516871333122253</v>
      </c>
      <c r="R39" s="260">
        <f>HLOOKUP(R$1,'Asset Returns'!$F$1:$N$109,ROW(),0)-'Risk Factors'!$J39</f>
        <v>7.980038970708847E-2</v>
      </c>
      <c r="S39" s="260">
        <f>HLOOKUP(S$1,'Asset Returns'!$F$1:$N$109,ROW(),0)-'Risk Factors'!$J39</f>
        <v>-6.8488838151097298E-3</v>
      </c>
      <c r="T39" s="260">
        <f>HLOOKUP(T$1,'Asset Returns'!$F$1:$N$109,ROW(),0)*Portfolios!$G$10</f>
        <v>-7.3647074401378635E-3</v>
      </c>
      <c r="U39" s="260">
        <f>HLOOKUP(U$1,'Asset Returns'!$F$1:$N$109,ROW(),0)*Portfolios!$G$11</f>
        <v>-5.6616306304931646E-3</v>
      </c>
      <c r="V39" s="260">
        <f>HLOOKUP(V$1,'Asset Returns'!$F$1:$N$109,ROW(),0)*Portfolios!$G$12</f>
        <v>5.5550613999366762E-2</v>
      </c>
      <c r="W39" s="260">
        <f>HLOOKUP(W$1,'Asset Returns'!$F$1:$N$109,ROW(),0)*Portfolios!$G$13</f>
        <v>2.3940116912126542E-2</v>
      </c>
      <c r="X39" s="260">
        <f>HLOOKUP(X$1,'Asset Returns'!$F$1:$N$109,ROW(),0)*Portfolios!$G$14</f>
        <v>-1.3697767630219456E-3</v>
      </c>
      <c r="Y39" s="138">
        <f>Portfolios!$R$34</f>
        <v>-0.68211369708646341</v>
      </c>
      <c r="Z39" s="138">
        <f>Portfolios!$P$11</f>
        <v>0.9378377404978776</v>
      </c>
      <c r="AA39" s="138">
        <f>Portfolios!$P$12</f>
        <v>0.64097224418739052</v>
      </c>
      <c r="AB39" s="138">
        <f>Portfolios!$P$13</f>
        <v>-2.1312105104673718</v>
      </c>
      <c r="AC39" s="138">
        <f>Portfolios!$P$14</f>
        <v>-0.78557102570241866</v>
      </c>
      <c r="AD39" s="138">
        <f>Portfolios!$P$15</f>
        <v>0.17519882647973573</v>
      </c>
      <c r="AE39" s="183"/>
      <c r="AF39" s="183"/>
      <c r="AG39" s="183"/>
      <c r="AH39" s="183"/>
      <c r="AI39" s="183"/>
      <c r="AJ39" s="183"/>
      <c r="AL39" s="343">
        <f>AL38*(1+O39+'Risk Factors'!$J39)</f>
        <v>7.8054352545436495E-2</v>
      </c>
      <c r="AM39" s="343">
        <f>AM38*(1+P39+'Risk Factors'!$J39)</f>
        <v>0.16358382580527878</v>
      </c>
      <c r="AN39" s="343">
        <f>AN38*(1+Q39+'Risk Factors'!$J39)</f>
        <v>3.4930502506927516E-2</v>
      </c>
      <c r="AO39" s="343">
        <f>AO38*(1+R39+'Risk Factors'!$J39)</f>
        <v>0.38911069761470463</v>
      </c>
      <c r="AP39" s="343">
        <f>AP38*(1+S39+'Risk Factors'!$J39)</f>
        <v>0.32419413213270359</v>
      </c>
      <c r="AR39" s="343">
        <f t="shared" si="15"/>
        <v>7.8852855146842454E-2</v>
      </c>
      <c r="AS39" s="343">
        <f t="shared" si="16"/>
        <v>0.16525730212266182</v>
      </c>
      <c r="AT39" s="343">
        <f t="shared" si="17"/>
        <v>3.5287844489925356E-2</v>
      </c>
      <c r="AU39" s="343">
        <f t="shared" si="18"/>
        <v>0.3930913328278321</v>
      </c>
      <c r="AV39" s="343">
        <f t="shared" si="19"/>
        <v>0.32751066541273843</v>
      </c>
      <c r="AW39" s="418">
        <f t="shared" si="20"/>
        <v>0.98987351060505091</v>
      </c>
      <c r="AX39" s="343">
        <f t="shared" si="11"/>
        <v>1.6382680948420658E-2</v>
      </c>
      <c r="AZ39" s="421">
        <v>41333</v>
      </c>
      <c r="BA39" s="92">
        <f>HLOOKUP(BA$1,'AC4'!$F$1:$AC$109,ROW(),0)*'Management and Hedging'!$G$10</f>
        <v>-2.7247960000000002E-2</v>
      </c>
      <c r="BB39" s="92">
        <f>HLOOKUP(BB$1,'AC4'!$F$1:$AC$109,ROW(),0)*'Management and Hedging'!$G$11</f>
        <v>0.14813497066497802</v>
      </c>
      <c r="BC39" s="92">
        <f>IF('Management and Hedging'!$G$13="yes",BA39+BB39,CQ39)</f>
        <v>0.12088701066497802</v>
      </c>
      <c r="BD39" s="138" t="e">
        <f>IF(IF('Management and Hedging'!$J$10="no",BL39,BO39)=0,NA(),IF('Management and Hedging'!$J$10="no",BL39,BO39))</f>
        <v>#N/A</v>
      </c>
      <c r="BE39" s="138" t="e">
        <f>IF(IF('Management and Hedging'!$J$10="no",BM39,BP39)=0,NA(),IF('Management and Hedging'!$J$10="no",BM39,BP39))</f>
        <v>#N/A</v>
      </c>
      <c r="BF39" s="138" t="e">
        <f>IF(IF('Management and Hedging'!$J$10="no",BN39,BQ39)=0,NA(),IF('Management and Hedging'!$J$10="no",BN39,BQ39))</f>
        <v>#N/A</v>
      </c>
      <c r="BG39" s="92">
        <f>IF('Management and Hedging'!$G$13="yes",BH39+BI39,CQ39)</f>
        <v>0.12088701066497802</v>
      </c>
      <c r="BH39" s="92">
        <f>HLOOKUP(BH$1,'Asset Returns'!$F$1:$ZY$109,ROW(),0)*'Management and Hedging'!$G$10</f>
        <v>-2.7247960000000002E-2</v>
      </c>
      <c r="BI39" s="92">
        <f>HLOOKUP(BI$1,'Asset Returns'!$F$1:$ZY$109,ROW(),0)*'Management and Hedging'!$G$11</f>
        <v>0.14813497066497802</v>
      </c>
      <c r="BJ39" s="92">
        <f>HLOOKUP(BJ$1,'AC4'!$F$1:$AC$109,ROW(),0)</f>
        <v>-0.13623979999999999</v>
      </c>
      <c r="BK39" s="92">
        <f>HLOOKUP(BK$1,'AC4'!$F$1:$AC$109,ROW(),0)</f>
        <v>0.18516871333122253</v>
      </c>
      <c r="BL39" s="138">
        <f ca="1">'Management and Hedging'!$R$34</f>
        <v>2.5919346055080732</v>
      </c>
      <c r="BM39" s="138">
        <f ca="1">'Management and Hedging'!$R$36</f>
        <v>-2.1312105104673718</v>
      </c>
      <c r="BN39" s="138">
        <f>'Management and Hedging'!$R$38</f>
        <v>-1.1865814872722835</v>
      </c>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343">
        <f>CK38*(1+BA39+'Risk Factors'!$J39)</f>
        <v>0.19087827002924387</v>
      </c>
      <c r="CL39" s="343">
        <f>CL38*(1+BB39+'Risk Factors'!$J39)</f>
        <v>0.15638476335424525</v>
      </c>
      <c r="CN39" s="343">
        <f t="shared" si="9"/>
        <v>0.54966481220145713</v>
      </c>
      <c r="CO39" s="343">
        <f t="shared" si="12"/>
        <v>0.45033518779854292</v>
      </c>
      <c r="CP39" s="418">
        <f t="shared" si="10"/>
        <v>0.34726303338348913</v>
      </c>
      <c r="CQ39" s="343">
        <f t="shared" si="13"/>
        <v>4.4611697899547664E-2</v>
      </c>
      <c r="CS39" s="92"/>
      <c r="CT39" s="260"/>
      <c r="CU39" s="260"/>
      <c r="CV39" s="260"/>
      <c r="CW39" s="260"/>
      <c r="CX39" s="260"/>
      <c r="CY39" s="260"/>
      <c r="CZ39" s="260"/>
      <c r="DB39" s="325"/>
      <c r="DC39" s="92"/>
      <c r="DD39" s="92"/>
      <c r="DE39" s="260"/>
      <c r="DF39" s="260"/>
      <c r="DG39" s="260"/>
      <c r="DH39" s="260"/>
      <c r="DI39" s="260"/>
    </row>
    <row r="40" spans="6:113">
      <c r="F40" s="421">
        <v>41364</v>
      </c>
      <c r="G40" s="92">
        <f>IF(Portfolios!$G$16="yes",SUM(T40:X40),AX40)</f>
        <v>4.9137205537408579E-2</v>
      </c>
      <c r="H40" s="138" t="e">
        <f>IF(IF(Portfolios!$J$10="no",'AC3'!Y40,'AC3'!AE40)=0,NA(),IF(Portfolios!$J$10="no",Y40,AE40))</f>
        <v>#N/A</v>
      </c>
      <c r="I40" s="138" t="e">
        <f>IF(Portfolios!$J$11="no",NA(),IF(IF(Portfolios!$J$10="no",'AC3'!Z40,'AC3'!AF40)=0,NA(),IF(Portfolios!$J$10="no",Z40,AF40)))</f>
        <v>#N/A</v>
      </c>
      <c r="J40" s="138" t="e">
        <f>IF(Portfolios!$J$11="no",NA(),IF(IF(Portfolios!$J$10="no",'AC3'!AA40,'AC3'!AG40)=0,NA(),IF(Portfolios!$J$10="no",AA40,AG40)))</f>
        <v>#N/A</v>
      </c>
      <c r="K40" s="138" t="e">
        <f>IF(Portfolios!$J$11="no",NA(),IF(IF(Portfolios!$J$10="no",'AC3'!AB40,'AC3'!AH40)=0,NA(),IF(Portfolios!$J$10="no",AB40,AH40)))</f>
        <v>#N/A</v>
      </c>
      <c r="L40" s="138" t="e">
        <f>IF(Portfolios!$J$11="no",NA(),IF(IF(Portfolios!$J$10="no",'AC3'!AC40,'AC3'!AI40)=0,NA(),IF(Portfolios!$J$10="no",AC40,AI40)))</f>
        <v>#N/A</v>
      </c>
      <c r="M40" s="138" t="e">
        <f>IF(Portfolios!$J$11="no",NA(),IF(IF(Portfolios!$J$10="no",'AC3'!AD40,'AC3'!AJ40)=0,NA(),IF(Portfolios!$J$10="no",AD40,AJ40)))</f>
        <v>#N/A</v>
      </c>
      <c r="N40" s="92">
        <f>G40-'Risk Factors'!J40</f>
        <v>4.9137205537408579E-2</v>
      </c>
      <c r="O40" s="260">
        <f>HLOOKUP(O$1,'Asset Returns'!$F$1:$N$109,ROW(),0)-'Risk Factors'!$J40</f>
        <v>3.2189022749662399E-2</v>
      </c>
      <c r="P40" s="260">
        <f>HLOOKUP(P$1,'Asset Returns'!$F$1:$N$109,ROW(),0)-'Risk Factors'!$J40</f>
        <v>-6.3041985034942627E-2</v>
      </c>
      <c r="Q40" s="260">
        <f>HLOOKUP(Q$1,'Asset Returns'!$F$1:$N$109,ROW(),0)-'Risk Factors'!$J40</f>
        <v>0.11958122253417969</v>
      </c>
      <c r="R40" s="260">
        <f>HLOOKUP(R$1,'Asset Returns'!$F$1:$N$109,ROW(),0)-'Risk Factors'!$J40</f>
        <v>1.3098903931677341E-2</v>
      </c>
      <c r="S40" s="260">
        <f>HLOOKUP(S$1,'Asset Returns'!$F$1:$N$109,ROW(),0)-'Risk Factors'!$J40</f>
        <v>6.2092319130897522E-2</v>
      </c>
      <c r="T40" s="260">
        <f>HLOOKUP(T$1,'Asset Returns'!$F$1:$N$109,ROW(),0)*Portfolios!$G$10</f>
        <v>3.2189022749662399E-3</v>
      </c>
      <c r="U40" s="260">
        <f>HLOOKUP(U$1,'Asset Returns'!$F$1:$N$109,ROW(),0)*Portfolios!$G$11</f>
        <v>-6.3041985034942632E-3</v>
      </c>
      <c r="V40" s="260">
        <f>HLOOKUP(V$1,'Asset Returns'!$F$1:$N$109,ROW(),0)*Portfolios!$G$12</f>
        <v>3.5874366760253906E-2</v>
      </c>
      <c r="W40" s="260">
        <f>HLOOKUP(W$1,'Asset Returns'!$F$1:$N$109,ROW(),0)*Portfolios!$G$13</f>
        <v>3.9296711795032023E-3</v>
      </c>
      <c r="X40" s="260">
        <f>HLOOKUP(X$1,'Asset Returns'!$F$1:$N$109,ROW(),0)*Portfolios!$G$14</f>
        <v>1.2418463826179501E-2</v>
      </c>
      <c r="Y40" s="138">
        <f>Portfolios!$R$34</f>
        <v>-0.68211369708646341</v>
      </c>
      <c r="Z40" s="138">
        <f>Portfolios!$P$11</f>
        <v>0.9378377404978776</v>
      </c>
      <c r="AA40" s="138">
        <f>Portfolios!$P$12</f>
        <v>0.64097224418739052</v>
      </c>
      <c r="AB40" s="138">
        <f>Portfolios!$P$13</f>
        <v>-2.1312105104673718</v>
      </c>
      <c r="AC40" s="138">
        <f>Portfolios!$P$14</f>
        <v>-0.78557102570241866</v>
      </c>
      <c r="AD40" s="138">
        <f>Portfolios!$P$15</f>
        <v>0.17519882647973573</v>
      </c>
      <c r="AE40" s="183"/>
      <c r="AF40" s="183"/>
      <c r="AG40" s="183"/>
      <c r="AH40" s="183"/>
      <c r="AI40" s="183"/>
      <c r="AJ40" s="183"/>
      <c r="AL40" s="343">
        <f>AL39*(1+O40+'Risk Factors'!$J40)</f>
        <v>8.0566845875231718E-2</v>
      </c>
      <c r="AM40" s="343">
        <f>AM39*(1+P40+'Risk Factors'!$J40)</f>
        <v>0.15327117670690374</v>
      </c>
      <c r="AN40" s="343">
        <f>AN39*(1+Q40+'Risk Factors'!$J40)</f>
        <v>3.9107534700439137E-2</v>
      </c>
      <c r="AO40" s="343">
        <f>AO39*(1+R40+'Risk Factors'!$J40)</f>
        <v>0.39420762126154757</v>
      </c>
      <c r="AP40" s="343">
        <f>AP39*(1+S40+'Risk Factors'!$J40)</f>
        <v>0.3443240976454518</v>
      </c>
      <c r="AR40" s="343">
        <f t="shared" si="15"/>
        <v>7.965265040727583E-2</v>
      </c>
      <c r="AS40" s="343">
        <f t="shared" si="16"/>
        <v>0.15153200206761461</v>
      </c>
      <c r="AT40" s="343">
        <f t="shared" si="17"/>
        <v>3.8663779820901766E-2</v>
      </c>
      <c r="AU40" s="343">
        <f t="shared" si="18"/>
        <v>0.38973453041535655</v>
      </c>
      <c r="AV40" s="343">
        <f t="shared" si="19"/>
        <v>0.34041703728885114</v>
      </c>
      <c r="AW40" s="418">
        <f t="shared" si="20"/>
        <v>1.0114772761895741</v>
      </c>
      <c r="AX40" s="343">
        <f t="shared" si="11"/>
        <v>2.1824773926234275E-2</v>
      </c>
      <c r="AZ40" s="421">
        <v>41364</v>
      </c>
      <c r="BA40" s="92">
        <f>HLOOKUP(BA$1,'AC4'!$F$1:$AC$109,ROW(),0)*'Management and Hedging'!$G$10</f>
        <v>-2.1029999999999999E-4</v>
      </c>
      <c r="BB40" s="92">
        <f>HLOOKUP(BB$1,'AC4'!$F$1:$AC$109,ROW(),0)*'Management and Hedging'!$G$11</f>
        <v>9.566497802734375E-2</v>
      </c>
      <c r="BC40" s="92">
        <f>IF('Management and Hedging'!$G$13="yes",BA40+BB40,CQ40)</f>
        <v>9.5454678027343753E-2</v>
      </c>
      <c r="BD40" s="138" t="e">
        <f>IF(IF('Management and Hedging'!$J$10="no",BL40,BO40)=0,NA(),IF('Management and Hedging'!$J$10="no",BL40,BO40))</f>
        <v>#N/A</v>
      </c>
      <c r="BE40" s="138" t="e">
        <f>IF(IF('Management and Hedging'!$J$10="no",BM40,BP40)=0,NA(),IF('Management and Hedging'!$J$10="no",BM40,BP40))</f>
        <v>#N/A</v>
      </c>
      <c r="BF40" s="138" t="e">
        <f>IF(IF('Management and Hedging'!$J$10="no",BN40,BQ40)=0,NA(),IF('Management and Hedging'!$J$10="no",BN40,BQ40))</f>
        <v>#N/A</v>
      </c>
      <c r="BG40" s="92">
        <f>IF('Management and Hedging'!$G$13="yes",BH40+BI40,CQ40)</f>
        <v>9.5454678027343753E-2</v>
      </c>
      <c r="BH40" s="92">
        <f>HLOOKUP(BH$1,'Asset Returns'!$F$1:$ZY$109,ROW(),0)*'Management and Hedging'!$G$10</f>
        <v>-2.1029999999999999E-4</v>
      </c>
      <c r="BI40" s="92">
        <f>HLOOKUP(BI$1,'Asset Returns'!$F$1:$ZY$109,ROW(),0)*'Management and Hedging'!$G$11</f>
        <v>9.566497802734375E-2</v>
      </c>
      <c r="BJ40" s="92">
        <f>HLOOKUP(BJ$1,'AC4'!$F$1:$AC$109,ROW(),0)</f>
        <v>-1.0514999999999999E-3</v>
      </c>
      <c r="BK40" s="92">
        <f>HLOOKUP(BK$1,'AC4'!$F$1:$AC$109,ROW(),0)</f>
        <v>0.11958122253417969</v>
      </c>
      <c r="BL40" s="138">
        <f ca="1">'Management and Hedging'!$R$34</f>
        <v>2.5919346055080732</v>
      </c>
      <c r="BM40" s="138">
        <f ca="1">'Management and Hedging'!$R$36</f>
        <v>-2.1312105104673718</v>
      </c>
      <c r="BN40" s="138">
        <f>'Management and Hedging'!$R$38</f>
        <v>-1.1865814872722835</v>
      </c>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343">
        <f>CK39*(1+BA40+'Risk Factors'!$J40)</f>
        <v>0.19083812832905672</v>
      </c>
      <c r="CL40" s="343">
        <f>CL39*(1+BB40+'Risk Factors'!$J40)</f>
        <v>0.17134530830434047</v>
      </c>
      <c r="CN40" s="343">
        <f t="shared" si="9"/>
        <v>0.52691014835729078</v>
      </c>
      <c r="CO40" s="343">
        <f t="shared" si="12"/>
        <v>0.47308985164270928</v>
      </c>
      <c r="CP40" s="418">
        <f t="shared" si="10"/>
        <v>0.36218343663339719</v>
      </c>
      <c r="CQ40" s="343">
        <f t="shared" si="13"/>
        <v>4.2965711335681389E-2</v>
      </c>
      <c r="CS40" s="92"/>
      <c r="CT40" s="260"/>
      <c r="CU40" s="260"/>
      <c r="CV40" s="260"/>
      <c r="CW40" s="260"/>
      <c r="CX40" s="260"/>
      <c r="CY40" s="260"/>
      <c r="CZ40" s="260"/>
      <c r="DB40" s="325"/>
      <c r="DC40" s="92"/>
      <c r="DD40" s="92"/>
      <c r="DE40" s="260"/>
      <c r="DF40" s="260"/>
      <c r="DG40" s="260"/>
      <c r="DH40" s="260"/>
      <c r="DI40" s="260"/>
    </row>
    <row r="41" spans="6:113">
      <c r="F41" s="421">
        <v>41394</v>
      </c>
      <c r="G41" s="92">
        <f>IF(Portfolios!$G$16="yes",SUM(T41:X41),AX41)</f>
        <v>6.7279013618826863E-2</v>
      </c>
      <c r="H41" s="138" t="e">
        <f>IF(IF(Portfolios!$J$10="no",'AC3'!Y41,'AC3'!AE41)=0,NA(),IF(Portfolios!$J$10="no",Y41,AE41))</f>
        <v>#N/A</v>
      </c>
      <c r="I41" s="138" t="e">
        <f>IF(Portfolios!$J$11="no",NA(),IF(IF(Portfolios!$J$10="no",'AC3'!Z41,'AC3'!AF41)=0,NA(),IF(Portfolios!$J$10="no",Z41,AF41)))</f>
        <v>#N/A</v>
      </c>
      <c r="J41" s="138" t="e">
        <f>IF(Portfolios!$J$11="no",NA(),IF(IF(Portfolios!$J$10="no",'AC3'!AA41,'AC3'!AG41)=0,NA(),IF(Portfolios!$J$10="no",AA41,AG41)))</f>
        <v>#N/A</v>
      </c>
      <c r="K41" s="138" t="e">
        <f>IF(Portfolios!$J$11="no",NA(),IF(IF(Portfolios!$J$10="no",'AC3'!AB41,'AC3'!AH41)=0,NA(),IF(Portfolios!$J$10="no",AB41,AH41)))</f>
        <v>#N/A</v>
      </c>
      <c r="L41" s="138" t="e">
        <f>IF(Portfolios!$J$11="no",NA(),IF(IF(Portfolios!$J$10="no",'AC3'!AC41,'AC3'!AI41)=0,NA(),IF(Portfolios!$J$10="no",AC41,AI41)))</f>
        <v>#N/A</v>
      </c>
      <c r="M41" s="138" t="e">
        <f>IF(Portfolios!$J$11="no",NA(),IF(IF(Portfolios!$J$10="no",'AC3'!AD41,'AC3'!AJ41)=0,NA(),IF(Portfolios!$J$10="no",AD41,AJ41)))</f>
        <v>#N/A</v>
      </c>
      <c r="N41" s="92">
        <f>G41-'Risk Factors'!J41</f>
        <v>6.7279013618826863E-2</v>
      </c>
      <c r="O41" s="260">
        <f>HLOOKUP(O$1,'Asset Returns'!$F$1:$N$109,ROW(),0)-'Risk Factors'!$J41</f>
        <v>3.9482507854700089E-2</v>
      </c>
      <c r="P41" s="260">
        <f>HLOOKUP(P$1,'Asset Returns'!$F$1:$N$109,ROW(),0)-'Risk Factors'!$J41</f>
        <v>0.1244472861289978</v>
      </c>
      <c r="Q41" s="260">
        <f>HLOOKUP(Q$1,'Asset Returns'!$F$1:$N$109,ROW(),0)-'Risk Factors'!$J41</f>
        <v>8.3140842616558075E-2</v>
      </c>
      <c r="R41" s="260">
        <f>HLOOKUP(R$1,'Asset Returns'!$F$1:$N$109,ROW(),0)-'Risk Factors'!$J41</f>
        <v>0.12010952830314636</v>
      </c>
      <c r="S41" s="260">
        <f>HLOOKUP(S$1,'Asset Returns'!$F$1:$N$109,ROW(),0)-'Risk Factors'!$J41</f>
        <v>-5.0445385277271271E-2</v>
      </c>
      <c r="T41" s="260">
        <f>HLOOKUP(T$1,'Asset Returns'!$F$1:$N$109,ROW(),0)*Portfolios!$G$10</f>
        <v>3.9482507854700089E-3</v>
      </c>
      <c r="U41" s="260">
        <f>HLOOKUP(U$1,'Asset Returns'!$F$1:$N$109,ROW(),0)*Portfolios!$G$11</f>
        <v>1.2444728612899782E-2</v>
      </c>
      <c r="V41" s="260">
        <f>HLOOKUP(V$1,'Asset Returns'!$F$1:$N$109,ROW(),0)*Portfolios!$G$12</f>
        <v>2.4942252784967422E-2</v>
      </c>
      <c r="W41" s="260">
        <f>HLOOKUP(W$1,'Asset Returns'!$F$1:$N$109,ROW(),0)*Portfolios!$G$13</f>
        <v>3.6032858490943905E-2</v>
      </c>
      <c r="X41" s="260">
        <f>HLOOKUP(X$1,'Asset Returns'!$F$1:$N$109,ROW(),0)*Portfolios!$G$14</f>
        <v>-1.0089077055454252E-2</v>
      </c>
      <c r="Y41" s="138">
        <f>Portfolios!$R$34</f>
        <v>-0.68211369708646341</v>
      </c>
      <c r="Z41" s="138">
        <f>Portfolios!$P$11</f>
        <v>0.9378377404978776</v>
      </c>
      <c r="AA41" s="138">
        <f>Portfolios!$P$12</f>
        <v>0.64097224418739052</v>
      </c>
      <c r="AB41" s="138">
        <f>Portfolios!$P$13</f>
        <v>-2.1312105104673718</v>
      </c>
      <c r="AC41" s="138">
        <f>Portfolios!$P$14</f>
        <v>-0.78557102570241866</v>
      </c>
      <c r="AD41" s="138">
        <f>Portfolios!$P$15</f>
        <v>0.17519882647973573</v>
      </c>
      <c r="AE41" s="183"/>
      <c r="AF41" s="183"/>
      <c r="AG41" s="183"/>
      <c r="AH41" s="183"/>
      <c r="AI41" s="183"/>
      <c r="AJ41" s="183"/>
      <c r="AL41" s="343">
        <f>AL40*(1+O41+'Risk Factors'!$J41)</f>
        <v>8.374782700032897E-2</v>
      </c>
      <c r="AM41" s="343">
        <f>AM40*(1+P41+'Risk Factors'!$J41)</f>
        <v>0.17234535868987597</v>
      </c>
      <c r="AN41" s="343">
        <f>AN40*(1+Q41+'Risk Factors'!$J41)</f>
        <v>4.2358968088089928E-2</v>
      </c>
      <c r="AO41" s="343">
        <f>AO40*(1+R41+'Risk Factors'!$J41)</f>
        <v>0.44155571270477739</v>
      </c>
      <c r="AP41" s="343">
        <f>AP40*(1+S41+'Risk Factors'!$J41)</f>
        <v>0.3269545358794782</v>
      </c>
      <c r="AR41" s="343">
        <f t="shared" si="15"/>
        <v>7.8491825780259983E-2</v>
      </c>
      <c r="AS41" s="343">
        <f t="shared" si="16"/>
        <v>0.16152898950165026</v>
      </c>
      <c r="AT41" s="343">
        <f t="shared" si="17"/>
        <v>3.9700525523950446E-2</v>
      </c>
      <c r="AU41" s="343">
        <f t="shared" si="18"/>
        <v>0.41384374156676057</v>
      </c>
      <c r="AV41" s="343">
        <f t="shared" si="19"/>
        <v>0.30643491762737862</v>
      </c>
      <c r="AW41" s="418">
        <f t="shared" si="20"/>
        <v>1.0669624023625506</v>
      </c>
      <c r="AX41" s="343">
        <f t="shared" si="11"/>
        <v>5.4855534058065425E-2</v>
      </c>
      <c r="AZ41" s="421">
        <v>41394</v>
      </c>
      <c r="BA41" s="92">
        <f>HLOOKUP(BA$1,'AC4'!$F$1:$AC$109,ROW(),0)*'Management and Hedging'!$G$10</f>
        <v>-3.4947360000000004E-2</v>
      </c>
      <c r="BB41" s="92">
        <f>HLOOKUP(BB$1,'AC4'!$F$1:$AC$109,ROW(),0)*'Management and Hedging'!$G$11</f>
        <v>6.651267409324646E-2</v>
      </c>
      <c r="BC41" s="92">
        <f>IF('Management and Hedging'!$G$13="yes",BA41+BB41,CQ41)</f>
        <v>3.1565314093246456E-2</v>
      </c>
      <c r="BD41" s="138" t="e">
        <f>IF(IF('Management and Hedging'!$J$10="no",BL41,BO41)=0,NA(),IF('Management and Hedging'!$J$10="no",BL41,BO41))</f>
        <v>#N/A</v>
      </c>
      <c r="BE41" s="138" t="e">
        <f>IF(IF('Management and Hedging'!$J$10="no",BM41,BP41)=0,NA(),IF('Management and Hedging'!$J$10="no",BM41,BP41))</f>
        <v>#N/A</v>
      </c>
      <c r="BF41" s="138" t="e">
        <f>IF(IF('Management and Hedging'!$J$10="no",BN41,BQ41)=0,NA(),IF('Management and Hedging'!$J$10="no",BN41,BQ41))</f>
        <v>#N/A</v>
      </c>
      <c r="BG41" s="92">
        <f>IF('Management and Hedging'!$G$13="yes",BH41+BI41,CQ41)</f>
        <v>3.1565314093246456E-2</v>
      </c>
      <c r="BH41" s="92">
        <f>HLOOKUP(BH$1,'Asset Returns'!$F$1:$ZY$109,ROW(),0)*'Management and Hedging'!$G$10</f>
        <v>-3.4947360000000004E-2</v>
      </c>
      <c r="BI41" s="92">
        <f>HLOOKUP(BI$1,'Asset Returns'!$F$1:$ZY$109,ROW(),0)*'Management and Hedging'!$G$11</f>
        <v>6.651267409324646E-2</v>
      </c>
      <c r="BJ41" s="92">
        <f>HLOOKUP(BJ$1,'AC4'!$F$1:$AC$109,ROW(),0)</f>
        <v>-0.17473680000000003</v>
      </c>
      <c r="BK41" s="92">
        <f>HLOOKUP(BK$1,'AC4'!$F$1:$AC$109,ROW(),0)</f>
        <v>8.3140842616558075E-2</v>
      </c>
      <c r="BL41" s="138">
        <f ca="1">'Management and Hedging'!$R$34</f>
        <v>2.5919346055080732</v>
      </c>
      <c r="BM41" s="138">
        <f ca="1">'Management and Hedging'!$R$36</f>
        <v>-2.1312105104673718</v>
      </c>
      <c r="BN41" s="138">
        <f>'Management and Hedging'!$R$38</f>
        <v>-1.1865814872722835</v>
      </c>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343">
        <f>CK40*(1+BA41+'Risk Factors'!$J41)</f>
        <v>0.18416883955661498</v>
      </c>
      <c r="CL41" s="343">
        <f>CL40*(1+BB41+'Risk Factors'!$J41)</f>
        <v>0.1827419429529939</v>
      </c>
      <c r="CN41" s="343">
        <f t="shared" si="9"/>
        <v>0.50194447352277494</v>
      </c>
      <c r="CO41" s="343">
        <f t="shared" si="12"/>
        <v>0.49805552647722517</v>
      </c>
      <c r="CP41" s="418">
        <f t="shared" si="10"/>
        <v>0.36691078250960885</v>
      </c>
      <c r="CQ41" s="343">
        <f t="shared" si="13"/>
        <v>1.3052352476838003E-2</v>
      </c>
      <c r="CS41" s="92"/>
      <c r="CT41" s="260"/>
      <c r="CU41" s="260"/>
      <c r="CV41" s="260"/>
      <c r="CW41" s="260"/>
      <c r="CX41" s="260"/>
      <c r="CY41" s="260"/>
      <c r="CZ41" s="260"/>
      <c r="DB41" s="325"/>
      <c r="DC41" s="92"/>
      <c r="DD41" s="92"/>
      <c r="DE41" s="260"/>
      <c r="DF41" s="260"/>
      <c r="DG41" s="260"/>
      <c r="DH41" s="260"/>
      <c r="DI41" s="260"/>
    </row>
    <row r="42" spans="6:113">
      <c r="F42" s="421">
        <v>41425</v>
      </c>
      <c r="G42" s="92">
        <f>IF(Portfolios!$G$16="yes",SUM(T42:X42),AX42)</f>
        <v>0.22479254044592381</v>
      </c>
      <c r="H42" s="138" t="e">
        <f>IF(IF(Portfolios!$J$10="no",'AC3'!Y42,'AC3'!AE42)=0,NA(),IF(Portfolios!$J$10="no",Y42,AE42))</f>
        <v>#N/A</v>
      </c>
      <c r="I42" s="138" t="e">
        <f>IF(Portfolios!$J$11="no",NA(),IF(IF(Portfolios!$J$10="no",'AC3'!Z42,'AC3'!AF42)=0,NA(),IF(Portfolios!$J$10="no",Z42,AF42)))</f>
        <v>#N/A</v>
      </c>
      <c r="J42" s="138" t="e">
        <f>IF(Portfolios!$J$11="no",NA(),IF(IF(Portfolios!$J$10="no",'AC3'!AA42,'AC3'!AG42)=0,NA(),IF(Portfolios!$J$10="no",AA42,AG42)))</f>
        <v>#N/A</v>
      </c>
      <c r="K42" s="138" t="e">
        <f>IF(Portfolios!$J$11="no",NA(),IF(IF(Portfolios!$J$10="no",'AC3'!AB42,'AC3'!AH42)=0,NA(),IF(Portfolios!$J$10="no",AB42,AH42)))</f>
        <v>#N/A</v>
      </c>
      <c r="L42" s="138" t="e">
        <f>IF(Portfolios!$J$11="no",NA(),IF(IF(Portfolios!$J$10="no",'AC3'!AC42,'AC3'!AI42)=0,NA(),IF(Portfolios!$J$10="no",AC42,AI42)))</f>
        <v>#N/A</v>
      </c>
      <c r="M42" s="138" t="e">
        <f>IF(Portfolios!$J$11="no",NA(),IF(IF(Portfolios!$J$10="no",'AC3'!AD42,'AC3'!AJ42)=0,NA(),IF(Portfolios!$J$10="no",AD42,AJ42)))</f>
        <v>#N/A</v>
      </c>
      <c r="N42" s="92">
        <f>G42-'Risk Factors'!J42</f>
        <v>0.22479254044592381</v>
      </c>
      <c r="O42" s="260">
        <f>HLOOKUP(O$1,'Asset Returns'!$F$1:$N$109,ROW(),0)-'Risk Factors'!$J42</f>
        <v>1.1815414763987064E-3</v>
      </c>
      <c r="P42" s="260">
        <f>HLOOKUP(P$1,'Asset Returns'!$F$1:$N$109,ROW(),0)-'Risk Factors'!$J42</f>
        <v>-3.922466654330492E-3</v>
      </c>
      <c r="Q42" s="260">
        <f>HLOOKUP(Q$1,'Asset Returns'!$F$1:$N$109,ROW(),0)-'Risk Factors'!$J42</f>
        <v>0.70102834701538086</v>
      </c>
      <c r="R42" s="260">
        <f>HLOOKUP(R$1,'Asset Returns'!$F$1:$N$109,ROW(),0)-'Risk Factors'!$J42</f>
        <v>2.7980362996459007E-2</v>
      </c>
      <c r="S42" s="260">
        <f>HLOOKUP(S$1,'Asset Returns'!$F$1:$N$109,ROW(),0)-'Risk Factors'!$J42</f>
        <v>3.1820099800825119E-2</v>
      </c>
      <c r="T42" s="260">
        <f>HLOOKUP(T$1,'Asset Returns'!$F$1:$N$109,ROW(),0)*Portfolios!$G$10</f>
        <v>1.1815414763987065E-4</v>
      </c>
      <c r="U42" s="260">
        <f>HLOOKUP(U$1,'Asset Returns'!$F$1:$N$109,ROW(),0)*Portfolios!$G$11</f>
        <v>-3.9224666543304922E-4</v>
      </c>
      <c r="V42" s="260">
        <f>HLOOKUP(V$1,'Asset Returns'!$F$1:$N$109,ROW(),0)*Portfolios!$G$12</f>
        <v>0.21030850410461424</v>
      </c>
      <c r="W42" s="260">
        <f>HLOOKUP(W$1,'Asset Returns'!$F$1:$N$109,ROW(),0)*Portfolios!$G$13</f>
        <v>8.3941088989377011E-3</v>
      </c>
      <c r="X42" s="260">
        <f>HLOOKUP(X$1,'Asset Returns'!$F$1:$N$109,ROW(),0)*Portfolios!$G$14</f>
        <v>6.3640199601650224E-3</v>
      </c>
      <c r="Y42" s="138">
        <f>Portfolios!$R$34</f>
        <v>-0.68211369708646341</v>
      </c>
      <c r="Z42" s="138">
        <f>Portfolios!$P$11</f>
        <v>0.9378377404978776</v>
      </c>
      <c r="AA42" s="138">
        <f>Portfolios!$P$12</f>
        <v>0.64097224418739052</v>
      </c>
      <c r="AB42" s="138">
        <f>Portfolios!$P$13</f>
        <v>-2.1312105104673718</v>
      </c>
      <c r="AC42" s="138">
        <f>Portfolios!$P$14</f>
        <v>-0.78557102570241866</v>
      </c>
      <c r="AD42" s="138">
        <f>Portfolios!$P$15</f>
        <v>0.17519882647973573</v>
      </c>
      <c r="AE42" s="183"/>
      <c r="AF42" s="183"/>
      <c r="AG42" s="183"/>
      <c r="AH42" s="183"/>
      <c r="AI42" s="183"/>
      <c r="AJ42" s="183"/>
      <c r="AL42" s="343">
        <f>AL41*(1+O42+'Risk Factors'!$J42)</f>
        <v>8.3846778531488128E-2</v>
      </c>
      <c r="AM42" s="343">
        <f>AM41*(1+P42+'Risk Factors'!$J42)</f>
        <v>0.1716693397673863</v>
      </c>
      <c r="AN42" s="343">
        <f>AN41*(1+Q42+'Risk Factors'!$J42)</f>
        <v>7.2053805468160884E-2</v>
      </c>
      <c r="AO42" s="343">
        <f>AO41*(1+R42+'Risk Factors'!$J42)</f>
        <v>0.45391060182941723</v>
      </c>
      <c r="AP42" s="343">
        <f>AP41*(1+S42+'Risk Factors'!$J42)</f>
        <v>0.33735826184149564</v>
      </c>
      <c r="AR42" s="343">
        <f t="shared" si="15"/>
        <v>7.4940893605852349E-2</v>
      </c>
      <c r="AS42" s="343">
        <f t="shared" si="16"/>
        <v>0.15343527744555177</v>
      </c>
      <c r="AT42" s="343">
        <f t="shared" si="17"/>
        <v>6.4400525149077431E-2</v>
      </c>
      <c r="AU42" s="343">
        <f t="shared" si="18"/>
        <v>0.40569794945064103</v>
      </c>
      <c r="AV42" s="343">
        <f t="shared" si="19"/>
        <v>0.30152535434887739</v>
      </c>
      <c r="AW42" s="418">
        <f t="shared" si="20"/>
        <v>1.1188387874379482</v>
      </c>
      <c r="AX42" s="343">
        <f t="shared" si="11"/>
        <v>4.8620630830598088E-2</v>
      </c>
      <c r="AZ42" s="421">
        <v>41425</v>
      </c>
      <c r="BA42" s="92">
        <f>HLOOKUP(BA$1,'AC4'!$F$1:$AC$109,ROW(),0)*'Management and Hedging'!$G$10</f>
        <v>-1.35204E-2</v>
      </c>
      <c r="BB42" s="92">
        <f>HLOOKUP(BB$1,'AC4'!$F$1:$AC$109,ROW(),0)*'Management and Hedging'!$G$11</f>
        <v>0.56082267761230475</v>
      </c>
      <c r="BC42" s="92">
        <f>IF('Management and Hedging'!$G$13="yes",BA42+BB42,CQ42)</f>
        <v>0.54730227761230477</v>
      </c>
      <c r="BD42" s="138" t="e">
        <f>IF(IF('Management and Hedging'!$J$10="no",BL42,BO42)=0,NA(),IF('Management and Hedging'!$J$10="no",BL42,BO42))</f>
        <v>#N/A</v>
      </c>
      <c r="BE42" s="138" t="e">
        <f>IF(IF('Management and Hedging'!$J$10="no",BM42,BP42)=0,NA(),IF('Management and Hedging'!$J$10="no",BM42,BP42))</f>
        <v>#N/A</v>
      </c>
      <c r="BF42" s="138" t="e">
        <f>IF(IF('Management and Hedging'!$J$10="no",BN42,BQ42)=0,NA(),IF('Management and Hedging'!$J$10="no",BN42,BQ42))</f>
        <v>#N/A</v>
      </c>
      <c r="BG42" s="92">
        <f>IF('Management and Hedging'!$G$13="yes",BH42+BI42,CQ42)</f>
        <v>0.54730227761230477</v>
      </c>
      <c r="BH42" s="92">
        <f>HLOOKUP(BH$1,'Asset Returns'!$F$1:$ZY$109,ROW(),0)*'Management and Hedging'!$G$10</f>
        <v>-1.35204E-2</v>
      </c>
      <c r="BI42" s="92">
        <f>HLOOKUP(BI$1,'Asset Returns'!$F$1:$ZY$109,ROW(),0)*'Management and Hedging'!$G$11</f>
        <v>0.56082267761230475</v>
      </c>
      <c r="BJ42" s="92">
        <f>HLOOKUP(BJ$1,'AC4'!$F$1:$AC$109,ROW(),0)</f>
        <v>-6.7601999999999995E-2</v>
      </c>
      <c r="BK42" s="92">
        <f>HLOOKUP(BK$1,'AC4'!$F$1:$AC$109,ROW(),0)</f>
        <v>0.70102834701538086</v>
      </c>
      <c r="BL42" s="138">
        <f ca="1">'Management and Hedging'!$R$34</f>
        <v>2.5919346055080732</v>
      </c>
      <c r="BM42" s="138">
        <f ca="1">'Management and Hedging'!$R$36</f>
        <v>-2.1312105104673718</v>
      </c>
      <c r="BN42" s="138">
        <f>'Management and Hedging'!$R$38</f>
        <v>-1.1865814872722835</v>
      </c>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343">
        <f>CK41*(1+BA42+'Risk Factors'!$J42)</f>
        <v>0.18167880317827373</v>
      </c>
      <c r="CL42" s="343">
        <f>CL41*(1+BB42+'Risk Factors'!$J42)</f>
        <v>0.28522776871196698</v>
      </c>
      <c r="CN42" s="343">
        <f t="shared" si="9"/>
        <v>0.38911168554076886</v>
      </c>
      <c r="CO42" s="343">
        <f t="shared" si="12"/>
        <v>0.6108883144592312</v>
      </c>
      <c r="CP42" s="418">
        <f t="shared" si="10"/>
        <v>0.46690657189024071</v>
      </c>
      <c r="CQ42" s="343">
        <f t="shared" si="13"/>
        <v>0.27253434389874642</v>
      </c>
      <c r="CS42" s="92"/>
      <c r="CT42" s="260"/>
      <c r="CU42" s="260"/>
      <c r="CV42" s="260"/>
      <c r="CW42" s="260"/>
      <c r="CX42" s="260"/>
      <c r="CY42" s="260"/>
      <c r="CZ42" s="260"/>
      <c r="DB42" s="325"/>
      <c r="DC42" s="92"/>
      <c r="DD42" s="92"/>
      <c r="DE42" s="260"/>
      <c r="DF42" s="260"/>
      <c r="DG42" s="260"/>
      <c r="DH42" s="260"/>
      <c r="DI42" s="260"/>
    </row>
    <row r="43" spans="6:113">
      <c r="F43" s="421">
        <v>41455</v>
      </c>
      <c r="G43" s="92">
        <f>IF(Portfolios!$G$16="yes",SUM(T43:X43),AX43)</f>
        <v>-4.2402275186032054E-2</v>
      </c>
      <c r="H43" s="138" t="e">
        <f>IF(IF(Portfolios!$J$10="no",'AC3'!Y43,'AC3'!AE43)=0,NA(),IF(Portfolios!$J$10="no",Y43,AE43))</f>
        <v>#N/A</v>
      </c>
      <c r="I43" s="138" t="e">
        <f>IF(Portfolios!$J$11="no",NA(),IF(IF(Portfolios!$J$10="no",'AC3'!Z43,'AC3'!AF43)=0,NA(),IF(Portfolios!$J$10="no",Z43,AF43)))</f>
        <v>#N/A</v>
      </c>
      <c r="J43" s="138" t="e">
        <f>IF(Portfolios!$J$11="no",NA(),IF(IF(Portfolios!$J$10="no",'AC3'!AA43,'AC3'!AG43)=0,NA(),IF(Portfolios!$J$10="no",AA43,AG43)))</f>
        <v>#N/A</v>
      </c>
      <c r="K43" s="138" t="e">
        <f>IF(Portfolios!$J$11="no",NA(),IF(IF(Portfolios!$J$10="no",'AC3'!AB43,'AC3'!AH43)=0,NA(),IF(Portfolios!$J$10="no",AB43,AH43)))</f>
        <v>#N/A</v>
      </c>
      <c r="L43" s="138" t="e">
        <f>IF(Portfolios!$J$11="no",NA(),IF(IF(Portfolios!$J$10="no",'AC3'!AC43,'AC3'!AI43)=0,NA(),IF(Portfolios!$J$10="no",AC43,AI43)))</f>
        <v>#N/A</v>
      </c>
      <c r="M43" s="138" t="e">
        <f>IF(Portfolios!$J$11="no",NA(),IF(IF(Portfolios!$J$10="no",'AC3'!AD43,'AC3'!AJ43)=0,NA(),IF(Portfolios!$J$10="no",AD43,AJ43)))</f>
        <v>#N/A</v>
      </c>
      <c r="N43" s="92">
        <f>G43-'Risk Factors'!J43</f>
        <v>-4.2402275186032054E-2</v>
      </c>
      <c r="O43" s="260">
        <f>HLOOKUP(O$1,'Asset Returns'!$F$1:$N$109,ROW(),0)-'Risk Factors'!$J43</f>
        <v>-3.8062058389186859E-2</v>
      </c>
      <c r="P43" s="260">
        <f>HLOOKUP(P$1,'Asset Returns'!$F$1:$N$109,ROW(),0)-'Risk Factors'!$J43</f>
        <v>-0.14655916392803192</v>
      </c>
      <c r="Q43" s="260">
        <f>HLOOKUP(Q$1,'Asset Returns'!$F$1:$N$109,ROW(),0)-'Risk Factors'!$J43</f>
        <v>-3.873535618185997E-2</v>
      </c>
      <c r="R43" s="260">
        <f>HLOOKUP(R$1,'Asset Returns'!$F$1:$N$109,ROW(),0)-'Risk Factors'!$J43</f>
        <v>1.3128357939422131E-2</v>
      </c>
      <c r="S43" s="260">
        <f>HLOOKUP(S$1,'Asset Returns'!$F$1:$N$109,ROW(),0)-'Risk Factors'!$J43</f>
        <v>-8.1290267407894135E-2</v>
      </c>
      <c r="T43" s="260">
        <f>HLOOKUP(T$1,'Asset Returns'!$F$1:$N$109,ROW(),0)*Portfolios!$G$10</f>
        <v>-3.8062058389186863E-3</v>
      </c>
      <c r="U43" s="260">
        <f>HLOOKUP(U$1,'Asset Returns'!$F$1:$N$109,ROW(),0)*Portfolios!$G$11</f>
        <v>-1.4655916392803192E-2</v>
      </c>
      <c r="V43" s="260">
        <f>HLOOKUP(V$1,'Asset Returns'!$F$1:$N$109,ROW(),0)*Portfolios!$G$12</f>
        <v>-1.1620606854557991E-2</v>
      </c>
      <c r="W43" s="260">
        <f>HLOOKUP(W$1,'Asset Returns'!$F$1:$N$109,ROW(),0)*Portfolios!$G$13</f>
        <v>3.9385073818266388E-3</v>
      </c>
      <c r="X43" s="260">
        <f>HLOOKUP(X$1,'Asset Returns'!$F$1:$N$109,ROW(),0)*Portfolios!$G$14</f>
        <v>-1.6258053481578823E-2</v>
      </c>
      <c r="Y43" s="138">
        <f>Portfolios!$R$34</f>
        <v>-0.68211369708646341</v>
      </c>
      <c r="Z43" s="138">
        <f>Portfolios!$P$11</f>
        <v>0.9378377404978776</v>
      </c>
      <c r="AA43" s="138">
        <f>Portfolios!$P$12</f>
        <v>0.64097224418739052</v>
      </c>
      <c r="AB43" s="138">
        <f>Portfolios!$P$13</f>
        <v>-2.1312105104673718</v>
      </c>
      <c r="AC43" s="138">
        <f>Portfolios!$P$14</f>
        <v>-0.78557102570241866</v>
      </c>
      <c r="AD43" s="138">
        <f>Portfolios!$P$15</f>
        <v>0.17519882647973573</v>
      </c>
      <c r="AE43" s="183"/>
      <c r="AF43" s="183"/>
      <c r="AG43" s="183"/>
      <c r="AH43" s="183"/>
      <c r="AI43" s="183"/>
      <c r="AJ43" s="183"/>
      <c r="AL43" s="343">
        <f>AL42*(1+O43+'Risk Factors'!$J43)</f>
        <v>8.0655397551277402E-2</v>
      </c>
      <c r="AM43" s="343">
        <f>AM42*(1+P43+'Risk Factors'!$J43)</f>
        <v>0.14650962485900093</v>
      </c>
      <c r="AN43" s="343">
        <f>AN42*(1+Q43+'Risk Factors'!$J43)</f>
        <v>6.9262775649093222E-2</v>
      </c>
      <c r="AO43" s="343">
        <f>AO42*(1+R43+'Risk Factors'!$J43)</f>
        <v>0.45986970268273231</v>
      </c>
      <c r="AP43" s="343">
        <f>AP42*(1+S43+'Risk Factors'!$J43)</f>
        <v>0.30993431852413811</v>
      </c>
      <c r="AR43" s="343">
        <f t="shared" si="15"/>
        <v>7.5645273470437896E-2</v>
      </c>
      <c r="AS43" s="343">
        <f t="shared" si="16"/>
        <v>0.13740879066976797</v>
      </c>
      <c r="AT43" s="343">
        <f t="shared" si="17"/>
        <v>6.4960334514081924E-2</v>
      </c>
      <c r="AU43" s="343">
        <f t="shared" si="18"/>
        <v>0.43130367559205351</v>
      </c>
      <c r="AV43" s="343">
        <f t="shared" si="19"/>
        <v>0.29068192575365859</v>
      </c>
      <c r="AW43" s="418">
        <f t="shared" si="20"/>
        <v>1.0662318192662421</v>
      </c>
      <c r="AX43" s="343">
        <f t="shared" si="11"/>
        <v>-4.7019256717200419E-2</v>
      </c>
      <c r="AZ43" s="421">
        <v>41455</v>
      </c>
      <c r="BA43" s="92">
        <f>HLOOKUP(BA$1,'AC4'!$F$1:$AC$109,ROW(),0)*'Management and Hedging'!$G$10</f>
        <v>-3.6114920000000002E-2</v>
      </c>
      <c r="BB43" s="92">
        <f>HLOOKUP(BB$1,'AC4'!$F$1:$AC$109,ROW(),0)*'Management and Hedging'!$G$11</f>
        <v>-3.0988284945487977E-2</v>
      </c>
      <c r="BC43" s="92">
        <f>IF('Management and Hedging'!$G$13="yes",BA43+BB43,CQ43)</f>
        <v>-6.7103204945487979E-2</v>
      </c>
      <c r="BD43" s="138" t="e">
        <f>IF(IF('Management and Hedging'!$J$10="no",BL43,BO43)=0,NA(),IF('Management and Hedging'!$J$10="no",BL43,BO43))</f>
        <v>#N/A</v>
      </c>
      <c r="BE43" s="138" t="e">
        <f>IF(IF('Management and Hedging'!$J$10="no",BM43,BP43)=0,NA(),IF('Management and Hedging'!$J$10="no",BM43,BP43))</f>
        <v>#N/A</v>
      </c>
      <c r="BF43" s="138" t="e">
        <f>IF(IF('Management and Hedging'!$J$10="no",BN43,BQ43)=0,NA(),IF('Management and Hedging'!$J$10="no",BN43,BQ43))</f>
        <v>#N/A</v>
      </c>
      <c r="BG43" s="92">
        <f>IF('Management and Hedging'!$G$13="yes",BH43+BI43,CQ43)</f>
        <v>-6.7103204945487979E-2</v>
      </c>
      <c r="BH43" s="92">
        <f>HLOOKUP(BH$1,'Asset Returns'!$F$1:$ZY$109,ROW(),0)*'Management and Hedging'!$G$10</f>
        <v>-3.6114920000000002E-2</v>
      </c>
      <c r="BI43" s="92">
        <f>HLOOKUP(BI$1,'Asset Returns'!$F$1:$ZY$109,ROW(),0)*'Management and Hedging'!$G$11</f>
        <v>-3.0988284945487977E-2</v>
      </c>
      <c r="BJ43" s="92">
        <f>HLOOKUP(BJ$1,'AC4'!$F$1:$AC$109,ROW(),0)</f>
        <v>-0.1805746</v>
      </c>
      <c r="BK43" s="92">
        <f>HLOOKUP(BK$1,'AC4'!$F$1:$AC$109,ROW(),0)</f>
        <v>-3.873535618185997E-2</v>
      </c>
      <c r="BL43" s="138">
        <f ca="1">'Management and Hedging'!$R$34</f>
        <v>2.5919346055080732</v>
      </c>
      <c r="BM43" s="138">
        <f ca="1">'Management and Hedging'!$R$36</f>
        <v>-2.1312105104673718</v>
      </c>
      <c r="BN43" s="138">
        <f>'Management and Hedging'!$R$38</f>
        <v>-1.1865814872722835</v>
      </c>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343">
        <f>CK42*(1+BA43+'Risk Factors'!$J43)</f>
        <v>0.17511748773579461</v>
      </c>
      <c r="CL43" s="343">
        <f>CL42*(1+BB43+'Risk Factors'!$J43)</f>
        <v>0.27638904934075481</v>
      </c>
      <c r="CN43" s="343">
        <f t="shared" si="9"/>
        <v>0.38785150015691755</v>
      </c>
      <c r="CO43" s="343">
        <f t="shared" si="12"/>
        <v>0.61214849984308239</v>
      </c>
      <c r="CP43" s="418">
        <f t="shared" si="10"/>
        <v>0.45150653707654942</v>
      </c>
      <c r="CQ43" s="343">
        <f t="shared" si="13"/>
        <v>-3.2983118552701529E-2</v>
      </c>
      <c r="CS43" s="92"/>
      <c r="CT43" s="260"/>
      <c r="CU43" s="260"/>
      <c r="CV43" s="260"/>
      <c r="CW43" s="260"/>
      <c r="CX43" s="260"/>
      <c r="CY43" s="260"/>
      <c r="CZ43" s="260"/>
      <c r="DB43" s="325"/>
      <c r="DC43" s="92"/>
      <c r="DD43" s="92"/>
      <c r="DE43" s="260"/>
      <c r="DF43" s="260"/>
      <c r="DG43" s="260"/>
      <c r="DH43" s="260"/>
      <c r="DI43" s="260"/>
    </row>
    <row r="44" spans="6:113">
      <c r="F44" s="421">
        <v>41486</v>
      </c>
      <c r="G44" s="92">
        <f>IF(Portfolios!$G$16="yes",SUM(T44:X44),AX44)</f>
        <v>0.1354235859354958</v>
      </c>
      <c r="H44" s="138" t="e">
        <f>IF(IF(Portfolios!$J$10="no",'AC3'!Y44,'AC3'!AE44)=0,NA(),IF(Portfolios!$J$10="no",Y44,AE44))</f>
        <v>#N/A</v>
      </c>
      <c r="I44" s="138" t="e">
        <f>IF(Portfolios!$J$11="no",NA(),IF(IF(Portfolios!$J$10="no",'AC3'!Z44,'AC3'!AF44)=0,NA(),IF(Portfolios!$J$10="no",Z44,AF44)))</f>
        <v>#N/A</v>
      </c>
      <c r="J44" s="138" t="e">
        <f>IF(Portfolios!$J$11="no",NA(),IF(IF(Portfolios!$J$10="no",'AC3'!AA44,'AC3'!AG44)=0,NA(),IF(Portfolios!$J$10="no",AA44,AG44)))</f>
        <v>#N/A</v>
      </c>
      <c r="K44" s="138" t="e">
        <f>IF(Portfolios!$J$11="no",NA(),IF(IF(Portfolios!$J$10="no",'AC3'!AB44,'AC3'!AH44)=0,NA(),IF(Portfolios!$J$10="no",AB44,AH44)))</f>
        <v>#N/A</v>
      </c>
      <c r="L44" s="138" t="e">
        <f>IF(Portfolios!$J$11="no",NA(),IF(IF(Portfolios!$J$10="no",'AC3'!AC44,'AC3'!AI44)=0,NA(),IF(Portfolios!$J$10="no",AC44,AI44)))</f>
        <v>#N/A</v>
      </c>
      <c r="M44" s="138" t="e">
        <f>IF(Portfolios!$J$11="no",NA(),IF(IF(Portfolios!$J$10="no",'AC3'!AD44,'AC3'!AJ44)=0,NA(),IF(Portfolios!$J$10="no",AD44,AJ44)))</f>
        <v>#N/A</v>
      </c>
      <c r="N44" s="92">
        <f>G44-'Risk Factors'!J44</f>
        <v>0.1354235859354958</v>
      </c>
      <c r="O44" s="260">
        <f>HLOOKUP(O$1,'Asset Returns'!$F$1:$N$109,ROW(),0)-'Risk Factors'!$J44</f>
        <v>-1.9614554475992918E-3</v>
      </c>
      <c r="P44" s="260">
        <f>HLOOKUP(P$1,'Asset Returns'!$F$1:$N$109,ROW(),0)-'Risk Factors'!$J44</f>
        <v>1.6352223232388496E-2</v>
      </c>
      <c r="Q44" s="260">
        <f>HLOOKUP(Q$1,'Asset Returns'!$F$1:$N$109,ROW(),0)-'Risk Factors'!$J44</f>
        <v>0.42631208896636963</v>
      </c>
      <c r="R44" s="260">
        <f>HLOOKUP(R$1,'Asset Returns'!$F$1:$N$109,ROW(),0)-'Risk Factors'!$J44</f>
        <v>6.5935566090047359E-3</v>
      </c>
      <c r="S44" s="260">
        <f>HLOOKUP(S$1,'Asset Returns'!$F$1:$N$109,ROW(),0)-'Risk Factors'!$J44</f>
        <v>2.056407742202282E-2</v>
      </c>
      <c r="T44" s="260">
        <f>HLOOKUP(T$1,'Asset Returns'!$F$1:$N$109,ROW(),0)*Portfolios!$G$10</f>
        <v>-1.961455447599292E-4</v>
      </c>
      <c r="U44" s="260">
        <f>HLOOKUP(U$1,'Asset Returns'!$F$1:$N$109,ROW(),0)*Portfolios!$G$11</f>
        <v>1.6352223232388497E-3</v>
      </c>
      <c r="V44" s="260">
        <f>HLOOKUP(V$1,'Asset Returns'!$F$1:$N$109,ROW(),0)*Portfolios!$G$12</f>
        <v>0.12789362668991089</v>
      </c>
      <c r="W44" s="260">
        <f>HLOOKUP(W$1,'Asset Returns'!$F$1:$N$109,ROW(),0)*Portfolios!$G$13</f>
        <v>1.9780669827014208E-3</v>
      </c>
      <c r="X44" s="260">
        <f>HLOOKUP(X$1,'Asset Returns'!$F$1:$N$109,ROW(),0)*Portfolios!$G$14</f>
        <v>4.112815484404563E-3</v>
      </c>
      <c r="Y44" s="138">
        <f>Portfolios!$R$34</f>
        <v>-0.68211369708646341</v>
      </c>
      <c r="Z44" s="138">
        <f>Portfolios!$P$11</f>
        <v>0.9378377404978776</v>
      </c>
      <c r="AA44" s="138">
        <f>Portfolios!$P$12</f>
        <v>0.64097224418739052</v>
      </c>
      <c r="AB44" s="138">
        <f>Portfolios!$P$13</f>
        <v>-2.1312105104673718</v>
      </c>
      <c r="AC44" s="138">
        <f>Portfolios!$P$14</f>
        <v>-0.78557102570241866</v>
      </c>
      <c r="AD44" s="138">
        <f>Portfolios!$P$15</f>
        <v>0.17519882647973573</v>
      </c>
      <c r="AE44" s="183"/>
      <c r="AF44" s="183"/>
      <c r="AG44" s="183"/>
      <c r="AH44" s="183"/>
      <c r="AI44" s="183"/>
      <c r="AJ44" s="183"/>
      <c r="AL44" s="343">
        <f>AL43*(1+O44+'Risk Factors'!$J44)</f>
        <v>8.0497195582372158E-2</v>
      </c>
      <c r="AM44" s="343">
        <f>AM43*(1+P44+'Risk Factors'!$J44)</f>
        <v>0.1489053829503888</v>
      </c>
      <c r="AN44" s="343">
        <f>AN43*(1+Q44+'Risk Factors'!$J44)</f>
        <v>9.8790334223667148E-2</v>
      </c>
      <c r="AO44" s="343">
        <f>AO43*(1+R44+'Risk Factors'!$J44)</f>
        <v>0.46290187960013707</v>
      </c>
      <c r="AP44" s="343">
        <f>AP43*(1+S44+'Risk Factors'!$J44)</f>
        <v>0.31630783184601036</v>
      </c>
      <c r="AR44" s="343">
        <f t="shared" si="15"/>
        <v>7.2690089244042563E-2</v>
      </c>
      <c r="AS44" s="343">
        <f t="shared" si="16"/>
        <v>0.1344636356244987</v>
      </c>
      <c r="AT44" s="343">
        <f t="shared" si="17"/>
        <v>8.920904833037091E-2</v>
      </c>
      <c r="AU44" s="343">
        <f t="shared" si="18"/>
        <v>0.41800684726882054</v>
      </c>
      <c r="AV44" s="343">
        <f t="shared" si="19"/>
        <v>0.28563037953226722</v>
      </c>
      <c r="AW44" s="418">
        <f t="shared" si="20"/>
        <v>1.1074026242025756</v>
      </c>
      <c r="AX44" s="343">
        <f t="shared" si="11"/>
        <v>3.8613371119112117E-2</v>
      </c>
      <c r="AZ44" s="421">
        <v>41486</v>
      </c>
      <c r="BA44" s="92">
        <f>HLOOKUP(BA$1,'AC4'!$F$1:$AC$109,ROW(),0)*'Management and Hedging'!$G$10</f>
        <v>2.437396E-2</v>
      </c>
      <c r="BB44" s="92">
        <f>HLOOKUP(BB$1,'AC4'!$F$1:$AC$109,ROW(),0)*'Management and Hedging'!$G$11</f>
        <v>0.3410496711730957</v>
      </c>
      <c r="BC44" s="92">
        <f>IF('Management and Hedging'!$G$13="yes",BA44+BB44,CQ44)</f>
        <v>0.36542363117309573</v>
      </c>
      <c r="BD44" s="138" t="e">
        <f>IF(IF('Management and Hedging'!$J$10="no",BL44,BO44)=0,NA(),IF('Management and Hedging'!$J$10="no",BL44,BO44))</f>
        <v>#N/A</v>
      </c>
      <c r="BE44" s="138" t="e">
        <f>IF(IF('Management and Hedging'!$J$10="no",BM44,BP44)=0,NA(),IF('Management and Hedging'!$J$10="no",BM44,BP44))</f>
        <v>#N/A</v>
      </c>
      <c r="BF44" s="138" t="e">
        <f>IF(IF('Management and Hedging'!$J$10="no",BN44,BQ44)=0,NA(),IF('Management and Hedging'!$J$10="no",BN44,BQ44))</f>
        <v>#N/A</v>
      </c>
      <c r="BG44" s="92">
        <f>IF('Management and Hedging'!$G$13="yes",BH44+BI44,CQ44)</f>
        <v>0.36542363117309573</v>
      </c>
      <c r="BH44" s="92">
        <f>HLOOKUP(BH$1,'Asset Returns'!$F$1:$ZY$109,ROW(),0)*'Management and Hedging'!$G$10</f>
        <v>2.437396E-2</v>
      </c>
      <c r="BI44" s="92">
        <f>HLOOKUP(BI$1,'Asset Returns'!$F$1:$ZY$109,ROW(),0)*'Management and Hedging'!$G$11</f>
        <v>0.3410496711730957</v>
      </c>
      <c r="BJ44" s="92">
        <f>HLOOKUP(BJ$1,'AC4'!$F$1:$AC$109,ROW(),0)</f>
        <v>0.1218698</v>
      </c>
      <c r="BK44" s="92">
        <f>HLOOKUP(BK$1,'AC4'!$F$1:$AC$109,ROW(),0)</f>
        <v>0.42631208896636963</v>
      </c>
      <c r="BL44" s="138">
        <f ca="1">'Management and Hedging'!$R$34</f>
        <v>2.5919346055080732</v>
      </c>
      <c r="BM44" s="138">
        <f ca="1">'Management and Hedging'!$R$36</f>
        <v>-2.1312105104673718</v>
      </c>
      <c r="BN44" s="138">
        <f>'Management and Hedging'!$R$38</f>
        <v>-1.1865814872722835</v>
      </c>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343">
        <f>CK43*(1+BA44+'Risk Factors'!$J44)</f>
        <v>0.17938579437716734</v>
      </c>
      <c r="CL44" s="343">
        <f>CL43*(1+BB44+'Risk Factors'!$J44)</f>
        <v>0.37065144373426379</v>
      </c>
      <c r="CN44" s="343">
        <f t="shared" si="9"/>
        <v>0.32613390866606357</v>
      </c>
      <c r="CO44" s="343">
        <f t="shared" si="12"/>
        <v>0.67386609133393638</v>
      </c>
      <c r="CP44" s="418">
        <f t="shared" si="10"/>
        <v>0.55003723811143113</v>
      </c>
      <c r="CQ44" s="343">
        <f t="shared" si="13"/>
        <v>0.21822652153135191</v>
      </c>
      <c r="CS44" s="92"/>
      <c r="CT44" s="260"/>
      <c r="CU44" s="260"/>
      <c r="CV44" s="260"/>
      <c r="CW44" s="260"/>
      <c r="CX44" s="260"/>
      <c r="CY44" s="260"/>
      <c r="CZ44" s="260"/>
      <c r="DB44" s="325"/>
      <c r="DC44" s="92"/>
      <c r="DD44" s="92"/>
      <c r="DE44" s="260"/>
      <c r="DF44" s="260"/>
      <c r="DG44" s="260"/>
      <c r="DH44" s="260"/>
      <c r="DI44" s="260"/>
    </row>
    <row r="45" spans="6:113">
      <c r="F45" s="421">
        <v>41517</v>
      </c>
      <c r="G45" s="92">
        <f>IF(Portfolios!$G$16="yes",SUM(T45:X45),AX45)</f>
        <v>-3.9904167177155614E-2</v>
      </c>
      <c r="H45" s="138" t="e">
        <f>IF(IF(Portfolios!$J$10="no",'AC3'!Y45,'AC3'!AE45)=0,NA(),IF(Portfolios!$J$10="no",Y45,AE45))</f>
        <v>#N/A</v>
      </c>
      <c r="I45" s="138" t="e">
        <f>IF(Portfolios!$J$11="no",NA(),IF(IF(Portfolios!$J$10="no",'AC3'!Z45,'AC3'!AF45)=0,NA(),IF(Portfolios!$J$10="no",Z45,AF45)))</f>
        <v>#N/A</v>
      </c>
      <c r="J45" s="138" t="e">
        <f>IF(Portfolios!$J$11="no",NA(),IF(IF(Portfolios!$J$10="no",'AC3'!AA45,'AC3'!AG45)=0,NA(),IF(Portfolios!$J$10="no",AA45,AG45)))</f>
        <v>#N/A</v>
      </c>
      <c r="K45" s="138" t="e">
        <f>IF(Portfolios!$J$11="no",NA(),IF(IF(Portfolios!$J$10="no",'AC3'!AB45,'AC3'!AH45)=0,NA(),IF(Portfolios!$J$10="no",AB45,AH45)))</f>
        <v>#N/A</v>
      </c>
      <c r="L45" s="138" t="e">
        <f>IF(Portfolios!$J$11="no",NA(),IF(IF(Portfolios!$J$10="no",'AC3'!AC45,'AC3'!AI45)=0,NA(),IF(Portfolios!$J$10="no",AC45,AI45)))</f>
        <v>#N/A</v>
      </c>
      <c r="M45" s="138" t="e">
        <f>IF(Portfolios!$J$11="no",NA(),IF(IF(Portfolios!$J$10="no",'AC3'!AD45,'AC3'!AJ45)=0,NA(),IF(Portfolios!$J$10="no",AD45,AJ45)))</f>
        <v>#N/A</v>
      </c>
      <c r="N45" s="92">
        <f>G45-'Risk Factors'!J45</f>
        <v>-3.9904167177155614E-2</v>
      </c>
      <c r="O45" s="260">
        <f>HLOOKUP(O$1,'Asset Returns'!$F$1:$N$109,ROW(),0)-'Risk Factors'!$J45</f>
        <v>1.4627302065491676E-2</v>
      </c>
      <c r="P45" s="260">
        <f>HLOOKUP(P$1,'Asset Returns'!$F$1:$N$109,ROW(),0)-'Risk Factors'!$J45</f>
        <v>-5.1967434585094452E-2</v>
      </c>
      <c r="Q45" s="260">
        <f>HLOOKUP(Q$1,'Asset Returns'!$F$1:$N$109,ROW(),0)-'Risk Factors'!$J45</f>
        <v>-7.7463835477828979E-2</v>
      </c>
      <c r="R45" s="260">
        <f>HLOOKUP(R$1,'Asset Returns'!$F$1:$N$109,ROW(),0)-'Risk Factors'!$J45</f>
        <v>-2.5930549018085003E-3</v>
      </c>
      <c r="S45" s="260">
        <f>HLOOKUP(S$1,'Asset Returns'!$F$1:$N$109,ROW(),0)-'Risk Factors'!$J45</f>
        <v>-6.0765434056520462E-2</v>
      </c>
      <c r="T45" s="260">
        <f>HLOOKUP(T$1,'Asset Returns'!$F$1:$N$109,ROW(),0)*Portfolios!$G$10</f>
        <v>1.4627302065491677E-3</v>
      </c>
      <c r="U45" s="260">
        <f>HLOOKUP(U$1,'Asset Returns'!$F$1:$N$109,ROW(),0)*Portfolios!$G$11</f>
        <v>-5.1967434585094459E-3</v>
      </c>
      <c r="V45" s="260">
        <f>HLOOKUP(V$1,'Asset Returns'!$F$1:$N$109,ROW(),0)*Portfolios!$G$12</f>
        <v>-2.3239150643348694E-2</v>
      </c>
      <c r="W45" s="260">
        <f>HLOOKUP(W$1,'Asset Returns'!$F$1:$N$109,ROW(),0)*Portfolios!$G$13</f>
        <v>-7.7791647054255004E-4</v>
      </c>
      <c r="X45" s="260">
        <f>HLOOKUP(X$1,'Asset Returns'!$F$1:$N$109,ROW(),0)*Portfolios!$G$14</f>
        <v>-1.215308681130409E-2</v>
      </c>
      <c r="Y45" s="138">
        <f>Portfolios!$R$34</f>
        <v>-0.68211369708646341</v>
      </c>
      <c r="Z45" s="138">
        <f>Portfolios!$P$11</f>
        <v>0.9378377404978776</v>
      </c>
      <c r="AA45" s="138">
        <f>Portfolios!$P$12</f>
        <v>0.64097224418739052</v>
      </c>
      <c r="AB45" s="138">
        <f>Portfolios!$P$13</f>
        <v>-2.1312105104673718</v>
      </c>
      <c r="AC45" s="138">
        <f>Portfolios!$P$14</f>
        <v>-0.78557102570241866</v>
      </c>
      <c r="AD45" s="138">
        <f>Portfolios!$P$15</f>
        <v>0.17519882647973573</v>
      </c>
      <c r="AE45" s="183"/>
      <c r="AF45" s="183"/>
      <c r="AG45" s="183"/>
      <c r="AH45" s="183"/>
      <c r="AI45" s="183"/>
      <c r="AJ45" s="183"/>
      <c r="AL45" s="343">
        <f>AL44*(1+O45+'Risk Factors'!$J45)</f>
        <v>8.1674652377580481E-2</v>
      </c>
      <c r="AM45" s="343">
        <f>AM44*(1+P45+'Risk Factors'!$J45)</f>
        <v>0.14116715220254603</v>
      </c>
      <c r="AN45" s="343">
        <f>AN44*(1+Q45+'Risk Factors'!$J45)</f>
        <v>9.1137656026565261E-2</v>
      </c>
      <c r="AO45" s="343">
        <f>AO44*(1+R45+'Risk Factors'!$J45)</f>
        <v>0.46170154961218357</v>
      </c>
      <c r="AP45" s="343">
        <f>AP44*(1+S45+'Risk Factors'!$J45)</f>
        <v>0.29708724914841067</v>
      </c>
      <c r="AR45" s="343">
        <f t="shared" si="15"/>
        <v>7.6134478872214056E-2</v>
      </c>
      <c r="AS45" s="343">
        <f t="shared" si="16"/>
        <v>0.13159146998421242</v>
      </c>
      <c r="AT45" s="343">
        <f t="shared" si="17"/>
        <v>8.4955585915934773E-2</v>
      </c>
      <c r="AU45" s="343">
        <f t="shared" si="18"/>
        <v>0.43038330560273391</v>
      </c>
      <c r="AV45" s="343">
        <f t="shared" si="19"/>
        <v>0.27693515962490484</v>
      </c>
      <c r="AW45" s="418">
        <f t="shared" si="20"/>
        <v>1.072768259367286</v>
      </c>
      <c r="AX45" s="343">
        <f t="shared" si="11"/>
        <v>-3.1275314035154378E-2</v>
      </c>
      <c r="AZ45" s="421">
        <v>41517</v>
      </c>
      <c r="BA45" s="92">
        <f>HLOOKUP(BA$1,'AC4'!$F$1:$AC$109,ROW(),0)*'Management and Hedging'!$G$10</f>
        <v>1.7559519999999999E-2</v>
      </c>
      <c r="BB45" s="92">
        <f>HLOOKUP(BB$1,'AC4'!$F$1:$AC$109,ROW(),0)*'Management and Hedging'!$G$11</f>
        <v>-6.1971068382263184E-2</v>
      </c>
      <c r="BC45" s="92">
        <f>IF('Management and Hedging'!$G$13="yes",BA45+BB45,CQ45)</f>
        <v>-4.4411548382263188E-2</v>
      </c>
      <c r="BD45" s="138" t="e">
        <f>IF(IF('Management and Hedging'!$J$10="no",BL45,BO45)=0,NA(),IF('Management and Hedging'!$J$10="no",BL45,BO45))</f>
        <v>#N/A</v>
      </c>
      <c r="BE45" s="138" t="e">
        <f>IF(IF('Management and Hedging'!$J$10="no",BM45,BP45)=0,NA(),IF('Management and Hedging'!$J$10="no",BM45,BP45))</f>
        <v>#N/A</v>
      </c>
      <c r="BF45" s="138" t="e">
        <f>IF(IF('Management and Hedging'!$J$10="no",BN45,BQ45)=0,NA(),IF('Management and Hedging'!$J$10="no",BN45,BQ45))</f>
        <v>#N/A</v>
      </c>
      <c r="BG45" s="92">
        <f>IF('Management and Hedging'!$G$13="yes",BH45+BI45,CQ45)</f>
        <v>-4.4411548382263188E-2</v>
      </c>
      <c r="BH45" s="92">
        <f>HLOOKUP(BH$1,'Asset Returns'!$F$1:$ZY$109,ROW(),0)*'Management and Hedging'!$G$10</f>
        <v>1.7559519999999999E-2</v>
      </c>
      <c r="BI45" s="92">
        <f>HLOOKUP(BI$1,'Asset Returns'!$F$1:$ZY$109,ROW(),0)*'Management and Hedging'!$G$11</f>
        <v>-6.1971068382263184E-2</v>
      </c>
      <c r="BJ45" s="92">
        <f>HLOOKUP(BJ$1,'AC4'!$F$1:$AC$109,ROW(),0)</f>
        <v>8.779759999999999E-2</v>
      </c>
      <c r="BK45" s="92">
        <f>HLOOKUP(BK$1,'AC4'!$F$1:$AC$109,ROW(),0)</f>
        <v>-7.7463835477828979E-2</v>
      </c>
      <c r="BL45" s="138">
        <f ca="1">'Management and Hedging'!$R$34</f>
        <v>2.5919346055080732</v>
      </c>
      <c r="BM45" s="138">
        <f ca="1">'Management and Hedging'!$R$36</f>
        <v>-2.1312105104673718</v>
      </c>
      <c r="BN45" s="138">
        <f>'Management and Hedging'!$R$38</f>
        <v>-1.1865814872722835</v>
      </c>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343">
        <f>CK44*(1+BA45+'Risk Factors'!$J45)</f>
        <v>0.18253572282124911</v>
      </c>
      <c r="CL45" s="343">
        <f>CL44*(1+BB45+'Risk Factors'!$J45)</f>
        <v>0.34768177776862313</v>
      </c>
      <c r="CN45" s="343">
        <f t="shared" si="9"/>
        <v>0.34426574494085216</v>
      </c>
      <c r="CO45" s="343">
        <f t="shared" si="12"/>
        <v>0.65573425505914773</v>
      </c>
      <c r="CP45" s="418">
        <f t="shared" si="10"/>
        <v>0.53021750058987227</v>
      </c>
      <c r="CQ45" s="343">
        <f t="shared" si="13"/>
        <v>-3.6033446734643815E-2</v>
      </c>
      <c r="CS45" s="92"/>
      <c r="CT45" s="260"/>
      <c r="CU45" s="260"/>
      <c r="CV45" s="260"/>
      <c r="CW45" s="260"/>
      <c r="CX45" s="260"/>
      <c r="CY45" s="260"/>
      <c r="CZ45" s="260"/>
      <c r="DB45" s="325"/>
      <c r="DC45" s="92"/>
      <c r="DD45" s="92"/>
      <c r="DE45" s="260"/>
      <c r="DF45" s="260"/>
      <c r="DG45" s="260"/>
      <c r="DH45" s="260"/>
      <c r="DI45" s="260"/>
    </row>
    <row r="46" spans="6:113">
      <c r="F46" s="421">
        <v>41547</v>
      </c>
      <c r="G46" s="92">
        <f>IF(Portfolios!$G$16="yes",SUM(T46:X46),AX46)</f>
        <v>0.14762627705931664</v>
      </c>
      <c r="H46" s="138" t="e">
        <f>IF(IF(Portfolios!$J$10="no",'AC3'!Y46,'AC3'!AE46)=0,NA(),IF(Portfolios!$J$10="no",Y46,AE46))</f>
        <v>#N/A</v>
      </c>
      <c r="I46" s="138" t="e">
        <f>IF(Portfolios!$J$11="no",NA(),IF(IF(Portfolios!$J$10="no",'AC3'!Z46,'AC3'!AF46)=0,NA(),IF(Portfolios!$J$10="no",Z46,AF46)))</f>
        <v>#N/A</v>
      </c>
      <c r="J46" s="138" t="e">
        <f>IF(Portfolios!$J$11="no",NA(),IF(IF(Portfolios!$J$10="no",'AC3'!AA46,'AC3'!AG46)=0,NA(),IF(Portfolios!$J$10="no",AA46,AG46)))</f>
        <v>#N/A</v>
      </c>
      <c r="K46" s="138" t="e">
        <f>IF(Portfolios!$J$11="no",NA(),IF(IF(Portfolios!$J$10="no",'AC3'!AB46,'AC3'!AH46)=0,NA(),IF(Portfolios!$J$10="no",AB46,AH46)))</f>
        <v>#N/A</v>
      </c>
      <c r="L46" s="138" t="e">
        <f>IF(Portfolios!$J$11="no",NA(),IF(IF(Portfolios!$J$10="no",'AC3'!AC46,'AC3'!AI46)=0,NA(),IF(Portfolios!$J$10="no",AC46,AI46)))</f>
        <v>#N/A</v>
      </c>
      <c r="M46" s="138" t="e">
        <f>IF(Portfolios!$J$11="no",NA(),IF(IF(Portfolios!$J$10="no",'AC3'!AD46,'AC3'!AJ46)=0,NA(),IF(Portfolios!$J$10="no",AD46,AJ46)))</f>
        <v>#N/A</v>
      </c>
      <c r="N46" s="92">
        <f>G46-'Risk Factors'!J46</f>
        <v>0.14762627705931664</v>
      </c>
      <c r="O46" s="260">
        <f>HLOOKUP(O$1,'Asset Returns'!$F$1:$N$109,ROW(),0)-'Risk Factors'!$J46</f>
        <v>1.6130682080984116E-2</v>
      </c>
      <c r="P46" s="260">
        <f>HLOOKUP(P$1,'Asset Returns'!$F$1:$N$109,ROW(),0)-'Risk Factors'!$J46</f>
        <v>0.17260713875293732</v>
      </c>
      <c r="Q46" s="260">
        <f>HLOOKUP(Q$1,'Asset Returns'!$F$1:$N$109,ROW(),0)-'Risk Factors'!$J46</f>
        <v>0.3525470495223999</v>
      </c>
      <c r="R46" s="260">
        <f>HLOOKUP(R$1,'Asset Returns'!$F$1:$N$109,ROW(),0)-'Risk Factors'!$J46</f>
        <v>6.5984383225440979E-2</v>
      </c>
      <c r="S46" s="260">
        <f>HLOOKUP(S$1,'Asset Returns'!$F$1:$N$109,ROW(),0)-'Risk Factors'!$J46</f>
        <v>1.5965325757861137E-2</v>
      </c>
      <c r="T46" s="260">
        <f>HLOOKUP(T$1,'Asset Returns'!$F$1:$N$109,ROW(),0)*Portfolios!$G$10</f>
        <v>1.6130682080984116E-3</v>
      </c>
      <c r="U46" s="260">
        <f>HLOOKUP(U$1,'Asset Returns'!$F$1:$N$109,ROW(),0)*Portfolios!$G$11</f>
        <v>1.7260713875293734E-2</v>
      </c>
      <c r="V46" s="260">
        <f>HLOOKUP(V$1,'Asset Returns'!$F$1:$N$109,ROW(),0)*Portfolios!$G$12</f>
        <v>0.10576411485671997</v>
      </c>
      <c r="W46" s="260">
        <f>HLOOKUP(W$1,'Asset Returns'!$F$1:$N$109,ROW(),0)*Portfolios!$G$13</f>
        <v>1.9795314967632292E-2</v>
      </c>
      <c r="X46" s="260">
        <f>HLOOKUP(X$1,'Asset Returns'!$F$1:$N$109,ROW(),0)*Portfolios!$G$14</f>
        <v>3.1930651515722267E-3</v>
      </c>
      <c r="Y46" s="138">
        <f>Portfolios!$R$34</f>
        <v>-0.68211369708646341</v>
      </c>
      <c r="Z46" s="138">
        <f>Portfolios!$P$11</f>
        <v>0.9378377404978776</v>
      </c>
      <c r="AA46" s="138">
        <f>Portfolios!$P$12</f>
        <v>0.64097224418739052</v>
      </c>
      <c r="AB46" s="138">
        <f>Portfolios!$P$13</f>
        <v>-2.1312105104673718</v>
      </c>
      <c r="AC46" s="138">
        <f>Portfolios!$P$14</f>
        <v>-0.78557102570241866</v>
      </c>
      <c r="AD46" s="138">
        <f>Portfolios!$P$15</f>
        <v>0.17519882647973573</v>
      </c>
      <c r="AE46" s="183"/>
      <c r="AF46" s="183"/>
      <c r="AG46" s="183"/>
      <c r="AH46" s="183"/>
      <c r="AI46" s="183"/>
      <c r="AJ46" s="183"/>
      <c r="AL46" s="343">
        <f>AL45*(1+O46+'Risk Factors'!$J46)</f>
        <v>8.2992120229158126E-2</v>
      </c>
      <c r="AM46" s="343">
        <f>AM45*(1+P46+'Risk Factors'!$J46)</f>
        <v>0.1655336104301279</v>
      </c>
      <c r="AN46" s="343">
        <f>AN45*(1+Q46+'Risk Factors'!$J46)</f>
        <v>0.12326796775911822</v>
      </c>
      <c r="AO46" s="343">
        <f>AO45*(1+R46+'Risk Factors'!$J46)</f>
        <v>0.49216664159757384</v>
      </c>
      <c r="AP46" s="343">
        <f>AP45*(1+S46+'Risk Factors'!$J46)</f>
        <v>0.30183034385957191</v>
      </c>
      <c r="AR46" s="343">
        <f t="shared" si="15"/>
        <v>7.1189555189495463E-2</v>
      </c>
      <c r="AS46" s="343">
        <f t="shared" si="16"/>
        <v>0.14199256583508507</v>
      </c>
      <c r="AT46" s="343">
        <f t="shared" si="17"/>
        <v>0.10573765038962797</v>
      </c>
      <c r="AU46" s="343">
        <f t="shared" si="18"/>
        <v>0.42217410758629237</v>
      </c>
      <c r="AV46" s="343">
        <f t="shared" si="19"/>
        <v>0.25890612099949906</v>
      </c>
      <c r="AW46" s="418">
        <f t="shared" si="20"/>
        <v>1.1657906838755501</v>
      </c>
      <c r="AX46" s="343">
        <f t="shared" si="11"/>
        <v>8.6712506355406394E-2</v>
      </c>
      <c r="AZ46" s="421">
        <v>41547</v>
      </c>
      <c r="BA46" s="92">
        <f>HLOOKUP(BA$1,'AC4'!$F$1:$AC$109,ROW(),0)*'Management and Hedging'!$G$10</f>
        <v>-1.7783860000000002E-2</v>
      </c>
      <c r="BB46" s="92">
        <f>HLOOKUP(BB$1,'AC4'!$F$1:$AC$109,ROW(),0)*'Management and Hedging'!$G$11</f>
        <v>0.28203763961791994</v>
      </c>
      <c r="BC46" s="92">
        <f>IF('Management and Hedging'!$G$13="yes",BA46+BB46,CQ46)</f>
        <v>0.26425377961791996</v>
      </c>
      <c r="BD46" s="138" t="e">
        <f>IF(IF('Management and Hedging'!$J$10="no",BL46,BO46)=0,NA(),IF('Management and Hedging'!$J$10="no",BL46,BO46))</f>
        <v>#N/A</v>
      </c>
      <c r="BE46" s="138" t="e">
        <f>IF(IF('Management and Hedging'!$J$10="no",BM46,BP46)=0,NA(),IF('Management and Hedging'!$J$10="no",BM46,BP46))</f>
        <v>#N/A</v>
      </c>
      <c r="BF46" s="138" t="e">
        <f>IF(IF('Management and Hedging'!$J$10="no",BN46,BQ46)=0,NA(),IF('Management and Hedging'!$J$10="no",BN46,BQ46))</f>
        <v>#N/A</v>
      </c>
      <c r="BG46" s="92">
        <f>IF('Management and Hedging'!$G$13="yes",BH46+BI46,CQ46)</f>
        <v>0.26425377961791996</v>
      </c>
      <c r="BH46" s="92">
        <f>HLOOKUP(BH$1,'Asset Returns'!$F$1:$ZY$109,ROW(),0)*'Management and Hedging'!$G$10</f>
        <v>-1.7783860000000002E-2</v>
      </c>
      <c r="BI46" s="92">
        <f>HLOOKUP(BI$1,'Asset Returns'!$F$1:$ZY$109,ROW(),0)*'Management and Hedging'!$G$11</f>
        <v>0.28203763961791994</v>
      </c>
      <c r="BJ46" s="92">
        <f>HLOOKUP(BJ$1,'AC4'!$F$1:$AC$109,ROW(),0)</f>
        <v>-8.8919300000000007E-2</v>
      </c>
      <c r="BK46" s="92">
        <f>HLOOKUP(BK$1,'AC4'!$F$1:$AC$109,ROW(),0)</f>
        <v>0.3525470495223999</v>
      </c>
      <c r="BL46" s="138">
        <f ca="1">'Management and Hedging'!$R$34</f>
        <v>2.5919346055080732</v>
      </c>
      <c r="BM46" s="138">
        <f ca="1">'Management and Hedging'!$R$36</f>
        <v>-2.1312105104673718</v>
      </c>
      <c r="BN46" s="138">
        <f>'Management and Hedging'!$R$38</f>
        <v>-1.1865814872722835</v>
      </c>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343">
        <f>CK45*(1+BA46+'Risk Factors'!$J46)</f>
        <v>0.1792895330815972</v>
      </c>
      <c r="CL46" s="343">
        <f>CL45*(1+BB46+'Risk Factors'!$J46)</f>
        <v>0.44574112570864777</v>
      </c>
      <c r="CN46" s="343">
        <f t="shared" si="9"/>
        <v>0.28684918181232011</v>
      </c>
      <c r="CO46" s="343">
        <f t="shared" si="12"/>
        <v>0.71315081818767989</v>
      </c>
      <c r="CP46" s="418">
        <f t="shared" si="10"/>
        <v>0.625030658790245</v>
      </c>
      <c r="CQ46" s="343">
        <f t="shared" si="13"/>
        <v>0.17881936770267326</v>
      </c>
      <c r="CS46" s="92"/>
      <c r="CT46" s="260"/>
      <c r="CU46" s="260"/>
      <c r="CV46" s="260"/>
      <c r="CW46" s="260"/>
      <c r="CX46" s="260"/>
      <c r="CY46" s="260"/>
      <c r="CZ46" s="260"/>
      <c r="DB46" s="325"/>
      <c r="DC46" s="92"/>
      <c r="DD46" s="92"/>
      <c r="DE46" s="260"/>
      <c r="DF46" s="260"/>
      <c r="DG46" s="260"/>
      <c r="DH46" s="260"/>
      <c r="DI46" s="260"/>
    </row>
    <row r="47" spans="6:113">
      <c r="F47" s="421">
        <v>41578</v>
      </c>
      <c r="G47" s="92">
        <f>IF(Portfolios!$G$16="yes",SUM(T47:X47),AX47)</f>
        <v>4.4726713653653855E-2</v>
      </c>
      <c r="H47" s="138" t="e">
        <f>IF(IF(Portfolios!$J$10="no",'AC3'!Y47,'AC3'!AE47)=0,NA(),IF(Portfolios!$J$10="no",Y47,AE47))</f>
        <v>#N/A</v>
      </c>
      <c r="I47" s="138" t="e">
        <f>IF(Portfolios!$J$11="no",NA(),IF(IF(Portfolios!$J$10="no",'AC3'!Z47,'AC3'!AF47)=0,NA(),IF(Portfolios!$J$10="no",Z47,AF47)))</f>
        <v>#N/A</v>
      </c>
      <c r="J47" s="138" t="e">
        <f>IF(Portfolios!$J$11="no",NA(),IF(IF(Portfolios!$J$10="no",'AC3'!AA47,'AC3'!AG47)=0,NA(),IF(Portfolios!$J$10="no",AA47,AG47)))</f>
        <v>#N/A</v>
      </c>
      <c r="K47" s="138" t="e">
        <f>IF(Portfolios!$J$11="no",NA(),IF(IF(Portfolios!$J$10="no",'AC3'!AB47,'AC3'!AH47)=0,NA(),IF(Portfolios!$J$10="no",AB47,AH47)))</f>
        <v>#N/A</v>
      </c>
      <c r="L47" s="138" t="e">
        <f>IF(Portfolios!$J$11="no",NA(),IF(IF(Portfolios!$J$10="no",'AC3'!AC47,'AC3'!AI47)=0,NA(),IF(Portfolios!$J$10="no",AC47,AI47)))</f>
        <v>#N/A</v>
      </c>
      <c r="M47" s="138" t="e">
        <f>IF(Portfolios!$J$11="no",NA(),IF(IF(Portfolios!$J$10="no",'AC3'!AD47,'AC3'!AJ47)=0,NA(),IF(Portfolios!$J$10="no",AD47,AJ47)))</f>
        <v>#N/A</v>
      </c>
      <c r="N47" s="92">
        <f>G47-'Risk Factors'!J47</f>
        <v>4.4726713653653855E-2</v>
      </c>
      <c r="O47" s="260">
        <f>HLOOKUP(O$1,'Asset Returns'!$F$1:$N$109,ROW(),0)-'Risk Factors'!$J47</f>
        <v>0.10571345686912537</v>
      </c>
      <c r="P47" s="260">
        <f>HLOOKUP(P$1,'Asset Returns'!$F$1:$N$109,ROW(),0)-'Risk Factors'!$J47</f>
        <v>0.16776686906814575</v>
      </c>
      <c r="Q47" s="260">
        <f>HLOOKUP(Q$1,'Asset Returns'!$F$1:$N$109,ROW(),0)-'Risk Factors'!$J47</f>
        <v>6.491117924451828E-2</v>
      </c>
      <c r="R47" s="260">
        <f>HLOOKUP(R$1,'Asset Returns'!$F$1:$N$109,ROW(),0)-'Risk Factors'!$J47</f>
        <v>1.4510360546410084E-2</v>
      </c>
      <c r="S47" s="260">
        <f>HLOOKUP(S$1,'Asset Returns'!$F$1:$N$109,ROW(),0)-'Risk Factors'!$J47</f>
        <v>-3.2238904386758804E-2</v>
      </c>
      <c r="T47" s="260">
        <f>HLOOKUP(T$1,'Asset Returns'!$F$1:$N$109,ROW(),0)*Portfolios!$G$10</f>
        <v>1.0571345686912537E-2</v>
      </c>
      <c r="U47" s="260">
        <f>HLOOKUP(U$1,'Asset Returns'!$F$1:$N$109,ROW(),0)*Portfolios!$G$11</f>
        <v>1.6776686906814577E-2</v>
      </c>
      <c r="V47" s="260">
        <f>HLOOKUP(V$1,'Asset Returns'!$F$1:$N$109,ROW(),0)*Portfolios!$G$12</f>
        <v>1.9473353773355483E-2</v>
      </c>
      <c r="W47" s="260">
        <f>HLOOKUP(W$1,'Asset Returns'!$F$1:$N$109,ROW(),0)*Portfolios!$G$13</f>
        <v>4.353108163923025E-3</v>
      </c>
      <c r="X47" s="260">
        <f>HLOOKUP(X$1,'Asset Returns'!$F$1:$N$109,ROW(),0)*Portfolios!$G$14</f>
        <v>-6.4477808773517591E-3</v>
      </c>
      <c r="Y47" s="138">
        <f>Portfolios!$R$34</f>
        <v>-0.68211369708646341</v>
      </c>
      <c r="Z47" s="138">
        <f>Portfolios!$P$11</f>
        <v>0.9378377404978776</v>
      </c>
      <c r="AA47" s="138">
        <f>Portfolios!$P$12</f>
        <v>0.64097224418739052</v>
      </c>
      <c r="AB47" s="138">
        <f>Portfolios!$P$13</f>
        <v>-2.1312105104673718</v>
      </c>
      <c r="AC47" s="138">
        <f>Portfolios!$P$14</f>
        <v>-0.78557102570241866</v>
      </c>
      <c r="AD47" s="138">
        <f>Portfolios!$P$15</f>
        <v>0.17519882647973573</v>
      </c>
      <c r="AE47" s="183"/>
      <c r="AF47" s="183"/>
      <c r="AG47" s="183"/>
      <c r="AH47" s="183"/>
      <c r="AI47" s="183"/>
      <c r="AJ47" s="183"/>
      <c r="AL47" s="343">
        <f>AL46*(1+O47+'Risk Factors'!$J47)</f>
        <v>9.1765504151480506E-2</v>
      </c>
      <c r="AM47" s="343">
        <f>AM46*(1+P47+'Risk Factors'!$J47)</f>
        <v>0.19330466597753662</v>
      </c>
      <c r="AN47" s="343">
        <f>AN46*(1+Q47+'Risk Factors'!$J47)</f>
        <v>0.13126943690943785</v>
      </c>
      <c r="AO47" s="343">
        <f>AO46*(1+R47+'Risk Factors'!$J47)</f>
        <v>0.49930815701607045</v>
      </c>
      <c r="AP47" s="343">
        <f>AP46*(1+S47+'Risk Factors'!$J47)</f>
        <v>0.29209966426286066</v>
      </c>
      <c r="AR47" s="343">
        <f t="shared" si="15"/>
        <v>7.5980707555160523E-2</v>
      </c>
      <c r="AS47" s="343">
        <f t="shared" si="16"/>
        <v>0.16005388332463311</v>
      </c>
      <c r="AT47" s="343">
        <f t="shared" si="17"/>
        <v>0.10868947747818455</v>
      </c>
      <c r="AU47" s="343">
        <f t="shared" si="18"/>
        <v>0.41342100617154565</v>
      </c>
      <c r="AV47" s="343">
        <f t="shared" si="19"/>
        <v>0.24185492547047616</v>
      </c>
      <c r="AW47" s="418">
        <f t="shared" si="20"/>
        <v>1.2077474283173861</v>
      </c>
      <c r="AX47" s="343">
        <f t="shared" si="11"/>
        <v>3.5989946584883636E-2</v>
      </c>
      <c r="AZ47" s="421">
        <v>41578</v>
      </c>
      <c r="BA47" s="92">
        <f>HLOOKUP(BA$1,'AC4'!$F$1:$AC$109,ROW(),0)*'Management and Hedging'!$G$10</f>
        <v>-7.2072000000000004E-3</v>
      </c>
      <c r="BB47" s="92">
        <f>HLOOKUP(BB$1,'AC4'!$F$1:$AC$109,ROW(),0)*'Management and Hedging'!$G$11</f>
        <v>5.192894339561463E-2</v>
      </c>
      <c r="BC47" s="92">
        <f>IF('Management and Hedging'!$G$13="yes",BA47+BB47,CQ47)</f>
        <v>4.4721743395614633E-2</v>
      </c>
      <c r="BD47" s="138" t="e">
        <f>IF(IF('Management and Hedging'!$J$10="no",BL47,BO47)=0,NA(),IF('Management and Hedging'!$J$10="no",BL47,BO47))</f>
        <v>#N/A</v>
      </c>
      <c r="BE47" s="138" t="e">
        <f>IF(IF('Management and Hedging'!$J$10="no",BM47,BP47)=0,NA(),IF('Management and Hedging'!$J$10="no",BM47,BP47))</f>
        <v>#N/A</v>
      </c>
      <c r="BF47" s="138" t="e">
        <f>IF(IF('Management and Hedging'!$J$10="no",BN47,BQ47)=0,NA(),IF('Management and Hedging'!$J$10="no",BN47,BQ47))</f>
        <v>#N/A</v>
      </c>
      <c r="BG47" s="92">
        <f>IF('Management and Hedging'!$G$13="yes",BH47+BI47,CQ47)</f>
        <v>4.4721743395614633E-2</v>
      </c>
      <c r="BH47" s="92">
        <f>HLOOKUP(BH$1,'Asset Returns'!$F$1:$ZY$109,ROW(),0)*'Management and Hedging'!$G$10</f>
        <v>-7.2072000000000004E-3</v>
      </c>
      <c r="BI47" s="92">
        <f>HLOOKUP(BI$1,'Asset Returns'!$F$1:$ZY$109,ROW(),0)*'Management and Hedging'!$G$11</f>
        <v>5.192894339561463E-2</v>
      </c>
      <c r="BJ47" s="92">
        <f>HLOOKUP(BJ$1,'AC4'!$F$1:$AC$109,ROW(),0)</f>
        <v>-3.6035999999999999E-2</v>
      </c>
      <c r="BK47" s="92">
        <f>HLOOKUP(BK$1,'AC4'!$F$1:$AC$109,ROW(),0)</f>
        <v>6.491117924451828E-2</v>
      </c>
      <c r="BL47" s="138">
        <f ca="1">'Management and Hedging'!$R$34</f>
        <v>2.5919346055080732</v>
      </c>
      <c r="BM47" s="138">
        <f ca="1">'Management and Hedging'!$R$36</f>
        <v>-2.1312105104673718</v>
      </c>
      <c r="BN47" s="138">
        <f>'Management and Hedging'!$R$38</f>
        <v>-1.1865814872722835</v>
      </c>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343">
        <f>CK46*(1+BA47+'Risk Factors'!$J47)</f>
        <v>0.17799735755877152</v>
      </c>
      <c r="CL47" s="343">
        <f>CL46*(1+BB47+'Risk Factors'!$J47)</f>
        <v>0.46888799139466975</v>
      </c>
      <c r="CN47" s="343">
        <f t="shared" si="9"/>
        <v>0.27516059506795637</v>
      </c>
      <c r="CO47" s="343">
        <f t="shared" si="12"/>
        <v>0.72483940493204357</v>
      </c>
      <c r="CP47" s="418">
        <f t="shared" si="10"/>
        <v>0.6468853489534413</v>
      </c>
      <c r="CQ47" s="343">
        <f t="shared" si="13"/>
        <v>3.4965789047046725E-2</v>
      </c>
      <c r="CS47" s="92"/>
      <c r="CT47" s="260"/>
      <c r="CU47" s="260"/>
      <c r="CV47" s="260"/>
      <c r="CW47" s="260"/>
      <c r="CX47" s="260"/>
      <c r="CY47" s="260"/>
      <c r="CZ47" s="260"/>
      <c r="DB47" s="325"/>
      <c r="DC47" s="92"/>
      <c r="DD47" s="92"/>
      <c r="DE47" s="260"/>
      <c r="DF47" s="260"/>
      <c r="DG47" s="260"/>
      <c r="DH47" s="260"/>
      <c r="DI47" s="260"/>
    </row>
    <row r="48" spans="6:113">
      <c r="F48" s="421">
        <v>41608</v>
      </c>
      <c r="G48" s="92">
        <f>IF(Portfolios!$G$16="yes",SUM(T48:X48),AX48)</f>
        <v>1.4683391898870468E-2</v>
      </c>
      <c r="H48" s="138" t="e">
        <f>IF(IF(Portfolios!$J$10="no",'AC3'!Y48,'AC3'!AE48)=0,NA(),IF(Portfolios!$J$10="no",Y48,AE48))</f>
        <v>#N/A</v>
      </c>
      <c r="I48" s="138" t="e">
        <f>IF(Portfolios!$J$11="no",NA(),IF(IF(Portfolios!$J$10="no",'AC3'!Z48,'AC3'!AF48)=0,NA(),IF(Portfolios!$J$10="no",Z48,AF48)))</f>
        <v>#N/A</v>
      </c>
      <c r="J48" s="138" t="e">
        <f>IF(Portfolios!$J$11="no",NA(),IF(IF(Portfolios!$J$10="no",'AC3'!AA48,'AC3'!AG48)=0,NA(),IF(Portfolios!$J$10="no",AA48,AG48)))</f>
        <v>#N/A</v>
      </c>
      <c r="K48" s="138" t="e">
        <f>IF(Portfolios!$J$11="no",NA(),IF(IF(Portfolios!$J$10="no",'AC3'!AB48,'AC3'!AH48)=0,NA(),IF(Portfolios!$J$10="no",AB48,AH48)))</f>
        <v>#N/A</v>
      </c>
      <c r="L48" s="138" t="e">
        <f>IF(Portfolios!$J$11="no",NA(),IF(IF(Portfolios!$J$10="no",'AC3'!AC48,'AC3'!AI48)=0,NA(),IF(Portfolios!$J$10="no",AC48,AI48)))</f>
        <v>#N/A</v>
      </c>
      <c r="M48" s="138" t="e">
        <f>IF(Portfolios!$J$11="no",NA(),IF(IF(Portfolios!$J$10="no",'AC3'!AD48,'AC3'!AJ48)=0,NA(),IF(Portfolios!$J$10="no",AD48,AJ48)))</f>
        <v>#N/A</v>
      </c>
      <c r="N48" s="92">
        <f>G48-'Risk Factors'!J48</f>
        <v>1.4683391898870468E-2</v>
      </c>
      <c r="O48" s="260">
        <f>HLOOKUP(O$1,'Asset Returns'!$F$1:$N$109,ROW(),0)-'Risk Factors'!$J48</f>
        <v>3.0286870896816254E-2</v>
      </c>
      <c r="P48" s="260">
        <f>HLOOKUP(P$1,'Asset Returns'!$F$1:$N$109,ROW(),0)-'Risk Factors'!$J48</f>
        <v>2.872026339173317E-2</v>
      </c>
      <c r="Q48" s="260">
        <f>HLOOKUP(Q$1,'Asset Returns'!$F$1:$N$109,ROW(),0)-'Risk Factors'!$J48</f>
        <v>6.2536969780921936E-2</v>
      </c>
      <c r="R48" s="260">
        <f>HLOOKUP(R$1,'Asset Returns'!$F$1:$N$109,ROW(),0)-'Risk Factors'!$J48</f>
        <v>-3.8553483784198761E-2</v>
      </c>
      <c r="S48" s="260">
        <f>HLOOKUP(S$1,'Asset Returns'!$F$1:$N$109,ROW(),0)-'Risk Factors'!$J48</f>
        <v>7.9381633549928665E-3</v>
      </c>
      <c r="T48" s="260">
        <f>HLOOKUP(T$1,'Asset Returns'!$F$1:$N$109,ROW(),0)*Portfolios!$G$10</f>
        <v>3.0286870896816254E-3</v>
      </c>
      <c r="U48" s="260">
        <f>HLOOKUP(U$1,'Asset Returns'!$F$1:$N$109,ROW(),0)*Portfolios!$G$11</f>
        <v>2.8720263391733172E-3</v>
      </c>
      <c r="V48" s="260">
        <f>HLOOKUP(V$1,'Asset Returns'!$F$1:$N$109,ROW(),0)*Portfolios!$G$12</f>
        <v>1.8761090934276581E-2</v>
      </c>
      <c r="W48" s="260">
        <f>HLOOKUP(W$1,'Asset Returns'!$F$1:$N$109,ROW(),0)*Portfolios!$G$13</f>
        <v>-1.1566045135259629E-2</v>
      </c>
      <c r="X48" s="260">
        <f>HLOOKUP(X$1,'Asset Returns'!$F$1:$N$109,ROW(),0)*Portfolios!$G$14</f>
        <v>1.587632670998573E-3</v>
      </c>
      <c r="Y48" s="138">
        <f>Portfolios!$R$34</f>
        <v>-0.68211369708646341</v>
      </c>
      <c r="Z48" s="138">
        <f>Portfolios!$P$11</f>
        <v>0.9378377404978776</v>
      </c>
      <c r="AA48" s="138">
        <f>Portfolios!$P$12</f>
        <v>0.64097224418739052</v>
      </c>
      <c r="AB48" s="138">
        <f>Portfolios!$P$13</f>
        <v>-2.1312105104673718</v>
      </c>
      <c r="AC48" s="138">
        <f>Portfolios!$P$14</f>
        <v>-0.78557102570241866</v>
      </c>
      <c r="AD48" s="138">
        <f>Portfolios!$P$15</f>
        <v>0.17519882647973573</v>
      </c>
      <c r="AE48" s="183"/>
      <c r="AF48" s="183"/>
      <c r="AG48" s="183"/>
      <c r="AH48" s="183"/>
      <c r="AI48" s="183"/>
      <c r="AJ48" s="183"/>
      <c r="AL48" s="343">
        <f>AL47*(1+O48+'Risk Factors'!$J48)</f>
        <v>9.4544794128497658E-2</v>
      </c>
      <c r="AM48" s="343">
        <f>AM47*(1+P48+'Risk Factors'!$J48)</f>
        <v>0.19885642689926247</v>
      </c>
      <c r="AN48" s="343">
        <f>AN47*(1+Q48+'Risk Factors'!$J48)</f>
        <v>0.139478629718602</v>
      </c>
      <c r="AO48" s="343">
        <f>AO47*(1+R48+'Risk Factors'!$J48)</f>
        <v>0.48005808808123324</v>
      </c>
      <c r="AP48" s="343">
        <f>AP47*(1+S48+'Risk Factors'!$J48)</f>
        <v>0.29441839911371781</v>
      </c>
      <c r="AR48" s="343">
        <f t="shared" si="15"/>
        <v>7.8307282744469492E-2</v>
      </c>
      <c r="AS48" s="343">
        <f t="shared" si="16"/>
        <v>0.16470400713540501</v>
      </c>
      <c r="AT48" s="343">
        <f t="shared" si="17"/>
        <v>0.11552399679818615</v>
      </c>
      <c r="AU48" s="343">
        <f t="shared" si="18"/>
        <v>0.39761093969969935</v>
      </c>
      <c r="AV48" s="343">
        <f t="shared" si="19"/>
        <v>0.24385377362224014</v>
      </c>
      <c r="AW48" s="418">
        <f t="shared" si="20"/>
        <v>1.207356337941313</v>
      </c>
      <c r="AX48" s="343">
        <f t="shared" si="11"/>
        <v>-3.2381801600522842E-4</v>
      </c>
      <c r="AZ48" s="421">
        <v>41608</v>
      </c>
      <c r="BA48" s="92">
        <f>HLOOKUP(BA$1,'AC4'!$F$1:$AC$109,ROW(),0)*'Management and Hedging'!$G$10</f>
        <v>-1.713396E-2</v>
      </c>
      <c r="BB48" s="92">
        <f>HLOOKUP(BB$1,'AC4'!$F$1:$AC$109,ROW(),0)*'Management and Hedging'!$G$11</f>
        <v>5.0029575824737549E-2</v>
      </c>
      <c r="BC48" s="92">
        <f>IF('Management and Hedging'!$G$13="yes",BA48+BB48,CQ48)</f>
        <v>3.2895615824737545E-2</v>
      </c>
      <c r="BD48" s="138" t="e">
        <f>IF(IF('Management and Hedging'!$J$10="no",BL48,BO48)=0,NA(),IF('Management and Hedging'!$J$10="no",BL48,BO48))</f>
        <v>#N/A</v>
      </c>
      <c r="BE48" s="138" t="e">
        <f>IF(IF('Management and Hedging'!$J$10="no",BM48,BP48)=0,NA(),IF('Management and Hedging'!$J$10="no",BM48,BP48))</f>
        <v>#N/A</v>
      </c>
      <c r="BF48" s="138" t="e">
        <f>IF(IF('Management and Hedging'!$J$10="no",BN48,BQ48)=0,NA(),IF('Management and Hedging'!$J$10="no",BN48,BQ48))</f>
        <v>#N/A</v>
      </c>
      <c r="BG48" s="92">
        <f>IF('Management and Hedging'!$G$13="yes",BH48+BI48,CQ48)</f>
        <v>3.2895615824737545E-2</v>
      </c>
      <c r="BH48" s="92">
        <f>HLOOKUP(BH$1,'Asset Returns'!$F$1:$ZY$109,ROW(),0)*'Management and Hedging'!$G$10</f>
        <v>-1.713396E-2</v>
      </c>
      <c r="BI48" s="92">
        <f>HLOOKUP(BI$1,'Asset Returns'!$F$1:$ZY$109,ROW(),0)*'Management and Hedging'!$G$11</f>
        <v>5.0029575824737549E-2</v>
      </c>
      <c r="BJ48" s="92">
        <f>HLOOKUP(BJ$1,'AC4'!$F$1:$AC$109,ROW(),0)</f>
        <v>-8.566979999999999E-2</v>
      </c>
      <c r="BK48" s="92">
        <f>HLOOKUP(BK$1,'AC4'!$F$1:$AC$109,ROW(),0)</f>
        <v>6.2536969780921936E-2</v>
      </c>
      <c r="BL48" s="138">
        <f ca="1">'Management and Hedging'!$R$34</f>
        <v>2.5919346055080732</v>
      </c>
      <c r="BM48" s="138">
        <f ca="1">'Management and Hedging'!$R$36</f>
        <v>-2.1312105104673718</v>
      </c>
      <c r="BN48" s="138">
        <f>'Management and Hedging'!$R$38</f>
        <v>-1.1865814872722835</v>
      </c>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343">
        <f>CK47*(1+BA48+'Risk Factors'!$J48)</f>
        <v>0.17494755795425385</v>
      </c>
      <c r="CL48" s="343">
        <f>CL47*(1+BB48+'Risk Factors'!$J48)</f>
        <v>0.49234625871345827</v>
      </c>
      <c r="CN48" s="343">
        <f t="shared" si="9"/>
        <v>0.26217470263383441</v>
      </c>
      <c r="CO48" s="343">
        <f t="shared" si="12"/>
        <v>0.73782529736616553</v>
      </c>
      <c r="CP48" s="418">
        <f t="shared" si="10"/>
        <v>0.66729381666771215</v>
      </c>
      <c r="CQ48" s="343">
        <f t="shared" si="13"/>
        <v>3.1548817340334878E-2</v>
      </c>
      <c r="CS48" s="92"/>
      <c r="CT48" s="260"/>
      <c r="CU48" s="260"/>
      <c r="CV48" s="260"/>
      <c r="CW48" s="260"/>
      <c r="CX48" s="260"/>
      <c r="CY48" s="260"/>
      <c r="CZ48" s="260"/>
      <c r="DB48" s="325"/>
      <c r="DC48" s="92"/>
      <c r="DD48" s="92"/>
      <c r="DE48" s="260"/>
      <c r="DF48" s="260"/>
      <c r="DG48" s="260"/>
      <c r="DH48" s="260"/>
      <c r="DI48" s="260"/>
    </row>
    <row r="49" spans="6:113">
      <c r="F49" s="421">
        <v>41639</v>
      </c>
      <c r="G49" s="92">
        <f>IF(Portfolios!$G$16="yes",SUM(T49:X49),AX49)</f>
        <v>1.1290239356458185E-2</v>
      </c>
      <c r="H49" s="138" t="e">
        <f>IF(IF(Portfolios!$J$10="no",'AC3'!Y49,'AC3'!AE49)=0,NA(),IF(Portfolios!$J$10="no",Y49,AE49))</f>
        <v>#N/A</v>
      </c>
      <c r="I49" s="138" t="e">
        <f>IF(Portfolios!$J$11="no",NA(),IF(IF(Portfolios!$J$10="no",'AC3'!Z49,'AC3'!AF49)=0,NA(),IF(Portfolios!$J$10="no",Z49,AF49)))</f>
        <v>#N/A</v>
      </c>
      <c r="J49" s="138" t="e">
        <f>IF(Portfolios!$J$11="no",NA(),IF(IF(Portfolios!$J$10="no",'AC3'!AA49,'AC3'!AG49)=0,NA(),IF(Portfolios!$J$10="no",AA49,AG49)))</f>
        <v>#N/A</v>
      </c>
      <c r="K49" s="138" t="e">
        <f>IF(Portfolios!$J$11="no",NA(),IF(IF(Portfolios!$J$10="no",'AC3'!AB49,'AC3'!AH49)=0,NA(),IF(Portfolios!$J$10="no",AB49,AH49)))</f>
        <v>#N/A</v>
      </c>
      <c r="L49" s="138" t="e">
        <f>IF(Portfolios!$J$11="no",NA(),IF(IF(Portfolios!$J$10="no",'AC3'!AC49,'AC3'!AI49)=0,NA(),IF(Portfolios!$J$10="no",AC49,AI49)))</f>
        <v>#N/A</v>
      </c>
      <c r="M49" s="138" t="e">
        <f>IF(Portfolios!$J$11="no",NA(),IF(IF(Portfolios!$J$10="no",'AC3'!AD49,'AC3'!AJ49)=0,NA(),IF(Portfolios!$J$10="no",AD49,AJ49)))</f>
        <v>#N/A</v>
      </c>
      <c r="N49" s="92">
        <f>G49-'Risk Factors'!J49</f>
        <v>1.1290239356458185E-2</v>
      </c>
      <c r="O49" s="260">
        <f>HLOOKUP(O$1,'Asset Returns'!$F$1:$N$109,ROW(),0)-'Risk Factors'!$J49</f>
        <v>2.3804876953363419E-2</v>
      </c>
      <c r="P49" s="260">
        <f>HLOOKUP(P$1,'Asset Returns'!$F$1:$N$109,ROW(),0)-'Risk Factors'!$J49</f>
        <v>-4.6240661293268204E-2</v>
      </c>
      <c r="Q49" s="260">
        <f>HLOOKUP(Q$1,'Asset Returns'!$F$1:$N$109,ROW(),0)-'Risk Factors'!$J49</f>
        <v>3.5799555480480194E-2</v>
      </c>
      <c r="R49" s="260">
        <f>HLOOKUP(R$1,'Asset Returns'!$F$1:$N$109,ROW(),0)-'Risk Factors'!$J49</f>
        <v>-1.9961094483733177E-2</v>
      </c>
      <c r="S49" s="260">
        <f>HLOOKUP(S$1,'Asset Returns'!$F$1:$N$109,ROW(),0)-'Risk Factors'!$J49</f>
        <v>4.3911397457122803E-2</v>
      </c>
      <c r="T49" s="260">
        <f>HLOOKUP(T$1,'Asset Returns'!$F$1:$N$109,ROW(),0)*Portfolios!$G$10</f>
        <v>2.380487695336342E-3</v>
      </c>
      <c r="U49" s="260">
        <f>HLOOKUP(U$1,'Asset Returns'!$F$1:$N$109,ROW(),0)*Portfolios!$G$11</f>
        <v>-4.6240661293268205E-3</v>
      </c>
      <c r="V49" s="260">
        <f>HLOOKUP(V$1,'Asset Returns'!$F$1:$N$109,ROW(),0)*Portfolios!$G$12</f>
        <v>1.0739866644144058E-2</v>
      </c>
      <c r="W49" s="260">
        <f>HLOOKUP(W$1,'Asset Returns'!$F$1:$N$109,ROW(),0)*Portfolios!$G$13</f>
        <v>-5.9883283451199528E-3</v>
      </c>
      <c r="X49" s="260">
        <f>HLOOKUP(X$1,'Asset Returns'!$F$1:$N$109,ROW(),0)*Portfolios!$G$14</f>
        <v>8.7822794914245578E-3</v>
      </c>
      <c r="Y49" s="138">
        <f>Portfolios!$R$34</f>
        <v>-0.68211369708646341</v>
      </c>
      <c r="Z49" s="138">
        <f>Portfolios!$P$11</f>
        <v>0.9378377404978776</v>
      </c>
      <c r="AA49" s="138">
        <f>Portfolios!$P$12</f>
        <v>0.64097224418739052</v>
      </c>
      <c r="AB49" s="138">
        <f>Portfolios!$P$13</f>
        <v>-2.1312105104673718</v>
      </c>
      <c r="AC49" s="138">
        <f>Portfolios!$P$14</f>
        <v>-0.78557102570241866</v>
      </c>
      <c r="AD49" s="138">
        <f>Portfolios!$P$15</f>
        <v>0.17519882647973573</v>
      </c>
      <c r="AE49" s="183"/>
      <c r="AF49" s="183"/>
      <c r="AG49" s="183"/>
      <c r="AH49" s="183"/>
      <c r="AI49" s="183"/>
      <c r="AJ49" s="183"/>
      <c r="AL49" s="343">
        <f>AL48*(1+O49+'Risk Factors'!$J49)</f>
        <v>9.6795421319307615E-2</v>
      </c>
      <c r="AM49" s="343">
        <f>AM48*(1+P49+'Risk Factors'!$J49)</f>
        <v>0.18966117421702414</v>
      </c>
      <c r="AN49" s="343">
        <f>AN48*(1+Q49+'Risk Factors'!$J49)</f>
        <v>0.14447190266155446</v>
      </c>
      <c r="AO49" s="343">
        <f>AO48*(1+R49+'Risk Factors'!$J49)</f>
        <v>0.47047560322736343</v>
      </c>
      <c r="AP49" s="343">
        <f>AP48*(1+S49+'Risk Factors'!$J49)</f>
        <v>0.30734672245589006</v>
      </c>
      <c r="AR49" s="343">
        <f t="shared" si="15"/>
        <v>8.0078887564692836E-2</v>
      </c>
      <c r="AS49" s="343">
        <f t="shared" si="16"/>
        <v>0.1569067590026926</v>
      </c>
      <c r="AT49" s="343">
        <f t="shared" si="17"/>
        <v>0.11952165806818167</v>
      </c>
      <c r="AU49" s="343">
        <f t="shared" si="18"/>
        <v>0.38922463913342226</v>
      </c>
      <c r="AV49" s="343">
        <f t="shared" si="19"/>
        <v>0.25426805623101062</v>
      </c>
      <c r="AW49" s="418">
        <f t="shared" si="20"/>
        <v>1.2087508238811397</v>
      </c>
      <c r="AX49" s="343">
        <f t="shared" si="11"/>
        <v>1.1549911952295489E-3</v>
      </c>
      <c r="AZ49" s="421">
        <v>41639</v>
      </c>
      <c r="BA49" s="92">
        <f>HLOOKUP(BA$1,'AC4'!$F$1:$AC$109,ROW(),0)*'Management and Hedging'!$G$10</f>
        <v>-6.1328800000000003E-3</v>
      </c>
      <c r="BB49" s="92">
        <f>HLOOKUP(BB$1,'AC4'!$F$1:$AC$109,ROW(),0)*'Management and Hedging'!$G$11</f>
        <v>2.8639644384384155E-2</v>
      </c>
      <c r="BC49" s="92">
        <f>IF('Management and Hedging'!$G$13="yes",BA49+BB49,CQ49)</f>
        <v>2.2506764384384155E-2</v>
      </c>
      <c r="BD49" s="138" t="e">
        <f>IF(IF('Management and Hedging'!$J$10="no",BL49,BO49)=0,NA(),IF('Management and Hedging'!$J$10="no",BL49,BO49))</f>
        <v>#N/A</v>
      </c>
      <c r="BE49" s="138" t="e">
        <f>IF(IF('Management and Hedging'!$J$10="no",BM49,BP49)=0,NA(),IF('Management and Hedging'!$J$10="no",BM49,BP49))</f>
        <v>#N/A</v>
      </c>
      <c r="BF49" s="138" t="e">
        <f>IF(IF('Management and Hedging'!$J$10="no",BN49,BQ49)=0,NA(),IF('Management and Hedging'!$J$10="no",BN49,BQ49))</f>
        <v>#N/A</v>
      </c>
      <c r="BG49" s="92">
        <f>IF('Management and Hedging'!$G$13="yes",BH49+BI49,CQ49)</f>
        <v>2.2506764384384155E-2</v>
      </c>
      <c r="BH49" s="92">
        <f>HLOOKUP(BH$1,'Asset Returns'!$F$1:$ZY$109,ROW(),0)*'Management and Hedging'!$G$10</f>
        <v>-6.1328800000000003E-3</v>
      </c>
      <c r="BI49" s="92">
        <f>HLOOKUP(BI$1,'Asset Returns'!$F$1:$ZY$109,ROW(),0)*'Management and Hedging'!$G$11</f>
        <v>2.8639644384384155E-2</v>
      </c>
      <c r="BJ49" s="92">
        <f>HLOOKUP(BJ$1,'AC4'!$F$1:$AC$109,ROW(),0)</f>
        <v>-3.0664400000000001E-2</v>
      </c>
      <c r="BK49" s="92">
        <f>HLOOKUP(BK$1,'AC4'!$F$1:$AC$109,ROW(),0)</f>
        <v>3.5799555480480194E-2</v>
      </c>
      <c r="BL49" s="138">
        <f ca="1">'Management and Hedging'!$R$34</f>
        <v>2.5919346055080732</v>
      </c>
      <c r="BM49" s="138">
        <f ca="1">'Management and Hedging'!$R$36</f>
        <v>-2.1312105104673718</v>
      </c>
      <c r="BN49" s="138">
        <f>'Management and Hedging'!$R$38</f>
        <v>-1.1865814872722835</v>
      </c>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343">
        <f>CK48*(1+BA49+'Risk Factors'!$J49)</f>
        <v>0.17387462557502736</v>
      </c>
      <c r="CL49" s="343">
        <f>CL48*(1+BB49+'Risk Factors'!$J49)</f>
        <v>0.50644688047699371</v>
      </c>
      <c r="CN49" s="343">
        <f t="shared" si="9"/>
        <v>0.25557714114322289</v>
      </c>
      <c r="CO49" s="343">
        <f t="shared" si="12"/>
        <v>0.74442285885677706</v>
      </c>
      <c r="CP49" s="418">
        <f t="shared" si="10"/>
        <v>0.68032150605202113</v>
      </c>
      <c r="CQ49" s="343">
        <f t="shared" si="13"/>
        <v>1.9523168144080616E-2</v>
      </c>
      <c r="CS49" s="92"/>
      <c r="CT49" s="260"/>
      <c r="CU49" s="260"/>
      <c r="CV49" s="260"/>
      <c r="CW49" s="260"/>
      <c r="CX49" s="260"/>
      <c r="CY49" s="260"/>
      <c r="CZ49" s="260"/>
      <c r="DB49" s="325"/>
      <c r="DC49" s="92"/>
      <c r="DD49" s="92"/>
      <c r="DE49" s="260"/>
      <c r="DF49" s="260"/>
      <c r="DG49" s="260"/>
      <c r="DH49" s="260"/>
      <c r="DI49" s="260"/>
    </row>
    <row r="50" spans="6:113">
      <c r="F50" s="421">
        <v>41670</v>
      </c>
      <c r="G50" s="92">
        <f>IF(Portfolios!$G$16="yes",SUM(T50:X50),AX50)</f>
        <v>-4.0626417845487598E-3</v>
      </c>
      <c r="H50" s="138" t="e">
        <f>IF(IF(Portfolios!$J$10="no",'AC3'!Y50,'AC3'!AE50)=0,NA(),IF(Portfolios!$J$10="no",Y50,AE50))</f>
        <v>#N/A</v>
      </c>
      <c r="I50" s="138" t="e">
        <f>IF(Portfolios!$J$11="no",NA(),IF(IF(Portfolios!$J$10="no",'AC3'!Z50,'AC3'!AF50)=0,NA(),IF(Portfolios!$J$10="no",Z50,AF50)))</f>
        <v>#N/A</v>
      </c>
      <c r="J50" s="138" t="e">
        <f>IF(Portfolios!$J$11="no",NA(),IF(IF(Portfolios!$J$10="no",'AC3'!AA50,'AC3'!AG50)=0,NA(),IF(Portfolios!$J$10="no",AA50,AG50)))</f>
        <v>#N/A</v>
      </c>
      <c r="K50" s="138" t="e">
        <f>IF(Portfolios!$J$11="no",NA(),IF(IF(Portfolios!$J$10="no",'AC3'!AB50,'AC3'!AH50)=0,NA(),IF(Portfolios!$J$10="no",AB50,AH50)))</f>
        <v>#N/A</v>
      </c>
      <c r="L50" s="138" t="e">
        <f>IF(Portfolios!$J$11="no",NA(),IF(IF(Portfolios!$J$10="no",'AC3'!AC50,'AC3'!AI50)=0,NA(),IF(Portfolios!$J$10="no",AC50,AI50)))</f>
        <v>#N/A</v>
      </c>
      <c r="M50" s="138" t="e">
        <f>IF(Portfolios!$J$11="no",NA(),IF(IF(Portfolios!$J$10="no",'AC3'!AD50,'AC3'!AJ50)=0,NA(),IF(Portfolios!$J$10="no",AD50,AJ50)))</f>
        <v>#N/A</v>
      </c>
      <c r="N50" s="92">
        <f>G50-'Risk Factors'!J50</f>
        <v>-4.0626417845487598E-3</v>
      </c>
      <c r="O50" s="260">
        <f>HLOOKUP(O$1,'Asset Returns'!$F$1:$N$109,ROW(),0)-'Risk Factors'!$J50</f>
        <v>-2.8173357248306274E-2</v>
      </c>
      <c r="P50" s="260">
        <f>HLOOKUP(P$1,'Asset Returns'!$F$1:$N$109,ROW(),0)-'Risk Factors'!$J50</f>
        <v>-8.319120854139328E-2</v>
      </c>
      <c r="Q50" s="260">
        <f>HLOOKUP(Q$1,'Asset Returns'!$F$1:$N$109,ROW(),0)-'Risk Factors'!$J50</f>
        <v>0.11163568496704102</v>
      </c>
      <c r="R50" s="260">
        <f>HLOOKUP(R$1,'Asset Returns'!$F$1:$N$109,ROW(),0)-'Risk Factors'!$J50</f>
        <v>-4.935074970126152E-2</v>
      </c>
      <c r="S50" s="260">
        <f>HLOOKUP(S$1,'Asset Returns'!$F$1:$N$109,ROW(),0)-'Risk Factors'!$J50</f>
        <v>-5.8058328926563263E-2</v>
      </c>
      <c r="T50" s="260">
        <f>HLOOKUP(T$1,'Asset Returns'!$F$1:$N$109,ROW(),0)*Portfolios!$G$10</f>
        <v>-2.8173357248306276E-3</v>
      </c>
      <c r="U50" s="260">
        <f>HLOOKUP(U$1,'Asset Returns'!$F$1:$N$109,ROW(),0)*Portfolios!$G$11</f>
        <v>-8.319120854139328E-3</v>
      </c>
      <c r="V50" s="260">
        <f>HLOOKUP(V$1,'Asset Returns'!$F$1:$N$109,ROW(),0)*Portfolios!$G$12</f>
        <v>3.3490705490112301E-2</v>
      </c>
      <c r="W50" s="260">
        <f>HLOOKUP(W$1,'Asset Returns'!$F$1:$N$109,ROW(),0)*Portfolios!$G$13</f>
        <v>-1.4805224910378455E-2</v>
      </c>
      <c r="X50" s="260">
        <f>HLOOKUP(X$1,'Asset Returns'!$F$1:$N$109,ROW(),0)*Portfolios!$G$14</f>
        <v>-1.161166578531265E-2</v>
      </c>
      <c r="Y50" s="138">
        <f>Portfolios!$R$34</f>
        <v>-0.68211369708646341</v>
      </c>
      <c r="Z50" s="138">
        <f>Portfolios!$P$11</f>
        <v>0.9378377404978776</v>
      </c>
      <c r="AA50" s="138">
        <f>Portfolios!$P$12</f>
        <v>0.64097224418739052</v>
      </c>
      <c r="AB50" s="138">
        <f>Portfolios!$P$13</f>
        <v>-2.1312105104673718</v>
      </c>
      <c r="AC50" s="138">
        <f>Portfolios!$P$14</f>
        <v>-0.78557102570241866</v>
      </c>
      <c r="AD50" s="138">
        <f>Portfolios!$P$15</f>
        <v>0.17519882647973573</v>
      </c>
      <c r="AE50" s="183"/>
      <c r="AF50" s="183"/>
      <c r="AG50" s="183"/>
      <c r="AH50" s="183"/>
      <c r="AI50" s="183"/>
      <c r="AJ50" s="183"/>
      <c r="AL50" s="343">
        <f>AL49*(1+O50+'Risk Factors'!$J50)</f>
        <v>9.4068369334478444E-2</v>
      </c>
      <c r="AM50" s="343">
        <f>AM49*(1+P50+'Risk Factors'!$J50)</f>
        <v>0.17388303192053015</v>
      </c>
      <c r="AN50" s="343">
        <f>AN49*(1+Q50+'Risk Factors'!$J50)</f>
        <v>0.16060012247366878</v>
      </c>
      <c r="AO50" s="343">
        <f>AO49*(1+R50+'Risk Factors'!$J50)</f>
        <v>0.44725727949193977</v>
      </c>
      <c r="AP50" s="343">
        <f>AP49*(1+S50+'Risk Factors'!$J50)</f>
        <v>0.28950268534904483</v>
      </c>
      <c r="AR50" s="343">
        <f t="shared" si="15"/>
        <v>8.0723798106496616E-2</v>
      </c>
      <c r="AS50" s="343">
        <f t="shared" si="16"/>
        <v>0.14921592520636637</v>
      </c>
      <c r="AT50" s="343">
        <f t="shared" si="17"/>
        <v>0.13781733386220549</v>
      </c>
      <c r="AU50" s="343">
        <f t="shared" si="18"/>
        <v>0.38380920799203366</v>
      </c>
      <c r="AV50" s="343">
        <f t="shared" si="19"/>
        <v>0.2484337348328978</v>
      </c>
      <c r="AW50" s="418">
        <f t="shared" si="20"/>
        <v>1.165311488569662</v>
      </c>
      <c r="AX50" s="343">
        <f t="shared" si="11"/>
        <v>-3.5937378037931511E-2</v>
      </c>
      <c r="AZ50" s="421">
        <v>41670</v>
      </c>
      <c r="BA50" s="92">
        <f>HLOOKUP(BA$1,'AC4'!$F$1:$AC$109,ROW(),0)*'Management and Hedging'!$G$10</f>
        <v>1.792618E-2</v>
      </c>
      <c r="BB50" s="92">
        <f>HLOOKUP(BB$1,'AC4'!$F$1:$AC$109,ROW(),0)*'Management and Hedging'!$G$11</f>
        <v>8.9308547973632815E-2</v>
      </c>
      <c r="BC50" s="92">
        <f>IF('Management and Hedging'!$G$13="yes",BA50+BB50,CQ50)</f>
        <v>0.10723472797363282</v>
      </c>
      <c r="BD50" s="138" t="e">
        <f>IF(IF('Management and Hedging'!$J$10="no",BL50,BO50)=0,NA(),IF('Management and Hedging'!$J$10="no",BL50,BO50))</f>
        <v>#N/A</v>
      </c>
      <c r="BE50" s="138" t="e">
        <f>IF(IF('Management and Hedging'!$J$10="no",BM50,BP50)=0,NA(),IF('Management and Hedging'!$J$10="no",BM50,BP50))</f>
        <v>#N/A</v>
      </c>
      <c r="BF50" s="138" t="e">
        <f>IF(IF('Management and Hedging'!$J$10="no",BN50,BQ50)=0,NA(),IF('Management and Hedging'!$J$10="no",BN50,BQ50))</f>
        <v>#N/A</v>
      </c>
      <c r="BG50" s="92">
        <f>IF('Management and Hedging'!$G$13="yes",BH50+BI50,CQ50)</f>
        <v>0.10723472797363282</v>
      </c>
      <c r="BH50" s="92">
        <f>HLOOKUP(BH$1,'Asset Returns'!$F$1:$ZY$109,ROW(),0)*'Management and Hedging'!$G$10</f>
        <v>1.792618E-2</v>
      </c>
      <c r="BI50" s="92">
        <f>HLOOKUP(BI$1,'Asset Returns'!$F$1:$ZY$109,ROW(),0)*'Management and Hedging'!$G$11</f>
        <v>8.9308547973632815E-2</v>
      </c>
      <c r="BJ50" s="92">
        <f>HLOOKUP(BJ$1,'AC4'!$F$1:$AC$109,ROW(),0)</f>
        <v>8.9630899999999999E-2</v>
      </c>
      <c r="BK50" s="92">
        <f>HLOOKUP(BK$1,'AC4'!$F$1:$AC$109,ROW(),0)</f>
        <v>0.11163568496704102</v>
      </c>
      <c r="BL50" s="138">
        <f ca="1">'Management and Hedging'!$R$34</f>
        <v>2.5919346055080732</v>
      </c>
      <c r="BM50" s="138">
        <f ca="1">'Management and Hedging'!$R$36</f>
        <v>-2.1312105104673718</v>
      </c>
      <c r="BN50" s="138">
        <f>'Management and Hedging'!$R$38</f>
        <v>-1.1865814872722835</v>
      </c>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343">
        <f>CK49*(1+BA50+'Risk Factors'!$J50)</f>
        <v>0.1769915334105179</v>
      </c>
      <c r="CL50" s="343">
        <f>CL49*(1+BB50+'Risk Factors'!$J50)</f>
        <v>0.55167691599817004</v>
      </c>
      <c r="CN50" s="343">
        <f t="shared" si="9"/>
        <v>0.24289721004682713</v>
      </c>
      <c r="CO50" s="343">
        <f t="shared" si="12"/>
        <v>0.75710278995317293</v>
      </c>
      <c r="CP50" s="418">
        <f t="shared" si="10"/>
        <v>0.72866844940868791</v>
      </c>
      <c r="CQ50" s="343">
        <f t="shared" si="13"/>
        <v>7.1064846438898099E-2</v>
      </c>
      <c r="CS50" s="92"/>
      <c r="CT50" s="260"/>
      <c r="CU50" s="260"/>
      <c r="CV50" s="260"/>
      <c r="CW50" s="260"/>
      <c r="CX50" s="260"/>
      <c r="CY50" s="260"/>
      <c r="CZ50" s="260"/>
      <c r="DB50" s="325"/>
      <c r="DC50" s="92"/>
      <c r="DD50" s="92"/>
      <c r="DE50" s="260"/>
      <c r="DF50" s="260"/>
      <c r="DG50" s="260"/>
      <c r="DH50" s="260"/>
      <c r="DI50" s="260"/>
    </row>
    <row r="51" spans="6:113">
      <c r="F51" s="421">
        <v>41698</v>
      </c>
      <c r="G51" s="92">
        <f>IF(Portfolios!$G$16="yes",SUM(T51:X51),AX51)</f>
        <v>6.5600129682570688E-2</v>
      </c>
      <c r="H51" s="138" t="e">
        <f>IF(IF(Portfolios!$J$10="no",'AC3'!Y51,'AC3'!AE51)=0,NA(),IF(Portfolios!$J$10="no",Y51,AE51))</f>
        <v>#N/A</v>
      </c>
      <c r="I51" s="138" t="e">
        <f>IF(Portfolios!$J$11="no",NA(),IF(IF(Portfolios!$J$10="no",'AC3'!Z51,'AC3'!AF51)=0,NA(),IF(Portfolios!$J$10="no",Z51,AF51)))</f>
        <v>#N/A</v>
      </c>
      <c r="J51" s="138" t="e">
        <f>IF(Portfolios!$J$11="no",NA(),IF(IF(Portfolios!$J$10="no",'AC3'!AA51,'AC3'!AG51)=0,NA(),IF(Portfolios!$J$10="no",AA51,AG51)))</f>
        <v>#N/A</v>
      </c>
      <c r="K51" s="138" t="e">
        <f>IF(Portfolios!$J$11="no",NA(),IF(IF(Portfolios!$J$10="no",'AC3'!AB51,'AC3'!AH51)=0,NA(),IF(Portfolios!$J$10="no",AB51,AH51)))</f>
        <v>#N/A</v>
      </c>
      <c r="L51" s="138" t="e">
        <f>IF(Portfolios!$J$11="no",NA(),IF(IF(Portfolios!$J$10="no",'AC3'!AC51,'AC3'!AI51)=0,NA(),IF(Portfolios!$J$10="no",AC51,AI51)))</f>
        <v>#N/A</v>
      </c>
      <c r="M51" s="138" t="e">
        <f>IF(Portfolios!$J$11="no",NA(),IF(IF(Portfolios!$J$10="no",'AC3'!AD51,'AC3'!AJ51)=0,NA(),IF(Portfolios!$J$10="no",AD51,AJ51)))</f>
        <v>#N/A</v>
      </c>
      <c r="N51" s="92">
        <f>G51-'Risk Factors'!J51</f>
        <v>6.5600129682570688E-2</v>
      </c>
      <c r="O51" s="260">
        <f>HLOOKUP(O$1,'Asset Returns'!$F$1:$N$109,ROW(),0)-'Risk Factors'!$J51</f>
        <v>8.8651753962039948E-2</v>
      </c>
      <c r="P51" s="260">
        <f>HLOOKUP(P$1,'Asset Returns'!$F$1:$N$109,ROW(),0)-'Risk Factors'!$J51</f>
        <v>0.20581063628196716</v>
      </c>
      <c r="Q51" s="260">
        <f>HLOOKUP(Q$1,'Asset Returns'!$F$1:$N$109,ROW(),0)-'Risk Factors'!$J51</f>
        <v>9.9468238651752472E-2</v>
      </c>
      <c r="R51" s="260">
        <f>HLOOKUP(R$1,'Asset Returns'!$F$1:$N$109,ROW(),0)-'Risk Factors'!$J51</f>
        <v>-1.4790707267820835E-2</v>
      </c>
      <c r="S51" s="260">
        <f>HLOOKUP(S$1,'Asset Returns'!$F$1:$N$109,ROW(),0)-'Risk Factors'!$J51</f>
        <v>5.3753156214952469E-2</v>
      </c>
      <c r="T51" s="260">
        <f>HLOOKUP(T$1,'Asset Returns'!$F$1:$N$109,ROW(),0)*Portfolios!$G$10</f>
        <v>8.8651753962039944E-3</v>
      </c>
      <c r="U51" s="260">
        <f>HLOOKUP(U$1,'Asset Returns'!$F$1:$N$109,ROW(),0)*Portfolios!$G$11</f>
        <v>2.0581063628196717E-2</v>
      </c>
      <c r="V51" s="260">
        <f>HLOOKUP(V$1,'Asset Returns'!$F$1:$N$109,ROW(),0)*Portfolios!$G$12</f>
        <v>2.984047159552574E-2</v>
      </c>
      <c r="W51" s="260">
        <f>HLOOKUP(W$1,'Asset Returns'!$F$1:$N$109,ROW(),0)*Portfolios!$G$13</f>
        <v>-4.4372121803462504E-3</v>
      </c>
      <c r="X51" s="260">
        <f>HLOOKUP(X$1,'Asset Returns'!$F$1:$N$109,ROW(),0)*Portfolios!$G$14</f>
        <v>1.0750631242990491E-2</v>
      </c>
      <c r="Y51" s="138">
        <f>Portfolios!$R$34</f>
        <v>-0.68211369708646341</v>
      </c>
      <c r="Z51" s="138">
        <f>Portfolios!$P$11</f>
        <v>0.9378377404978776</v>
      </c>
      <c r="AA51" s="138">
        <f>Portfolios!$P$12</f>
        <v>0.64097224418739052</v>
      </c>
      <c r="AB51" s="138">
        <f>Portfolios!$P$13</f>
        <v>-2.1312105104673718</v>
      </c>
      <c r="AC51" s="138">
        <f>Portfolios!$P$14</f>
        <v>-0.78557102570241866</v>
      </c>
      <c r="AD51" s="138">
        <f>Portfolios!$P$15</f>
        <v>0.17519882647973573</v>
      </c>
      <c r="AE51" s="183"/>
      <c r="AF51" s="183"/>
      <c r="AG51" s="183"/>
      <c r="AH51" s="183"/>
      <c r="AI51" s="183"/>
      <c r="AJ51" s="183"/>
      <c r="AL51" s="343">
        <f>AL50*(1+O51+'Risk Factors'!$J51)</f>
        <v>0.10240769526832894</v>
      </c>
      <c r="AM51" s="343">
        <f>AM50*(1+P51+'Risk Factors'!$J51)</f>
        <v>0.20967000935873206</v>
      </c>
      <c r="AN51" s="343">
        <f>AN50*(1+Q51+'Risk Factors'!$J51)</f>
        <v>0.17657473378338034</v>
      </c>
      <c r="AO51" s="343">
        <f>AO50*(1+R51+'Risk Factors'!$J51)</f>
        <v>0.44064202799757257</v>
      </c>
      <c r="AP51" s="343">
        <f>AP50*(1+S51+'Risk Factors'!$J51)</f>
        <v>0.30506436841926027</v>
      </c>
      <c r="AR51" s="343">
        <f t="shared" si="15"/>
        <v>8.2964282653397961E-2</v>
      </c>
      <c r="AS51" s="343">
        <f t="shared" si="16"/>
        <v>0.16986147256609668</v>
      </c>
      <c r="AT51" s="343">
        <f t="shared" si="17"/>
        <v>0.14304975895286459</v>
      </c>
      <c r="AU51" s="343">
        <f t="shared" si="18"/>
        <v>0.35698049510799862</v>
      </c>
      <c r="AV51" s="343">
        <f t="shared" si="19"/>
        <v>0.24714399071964227</v>
      </c>
      <c r="AW51" s="418">
        <f t="shared" si="20"/>
        <v>1.234358834827274</v>
      </c>
      <c r="AX51" s="343">
        <f t="shared" si="11"/>
        <v>5.9252265969129692E-2</v>
      </c>
      <c r="AZ51" s="421">
        <v>41698</v>
      </c>
      <c r="BA51" s="92">
        <f>HLOOKUP(BA$1,'AC4'!$F$1:$AC$109,ROW(),0)*'Management and Hedging'!$G$10</f>
        <v>3.0645160000000001E-2</v>
      </c>
      <c r="BB51" s="92">
        <f>HLOOKUP(BB$1,'AC4'!$F$1:$AC$109,ROW(),0)*'Management and Hedging'!$G$11</f>
        <v>7.9574590921401983E-2</v>
      </c>
      <c r="BC51" s="92">
        <f>IF('Management and Hedging'!$G$13="yes",BA51+BB51,CQ51)</f>
        <v>0.11021975092140199</v>
      </c>
      <c r="BD51" s="138" t="e">
        <f>IF(IF('Management and Hedging'!$J$10="no",BL51,BO51)=0,NA(),IF('Management and Hedging'!$J$10="no",BL51,BO51))</f>
        <v>#N/A</v>
      </c>
      <c r="BE51" s="138" t="e">
        <f>IF(IF('Management and Hedging'!$J$10="no",BM51,BP51)=0,NA(),IF('Management and Hedging'!$J$10="no",BM51,BP51))</f>
        <v>#N/A</v>
      </c>
      <c r="BF51" s="138" t="e">
        <f>IF(IF('Management and Hedging'!$J$10="no",BN51,BQ51)=0,NA(),IF('Management and Hedging'!$J$10="no",BN51,BQ51))</f>
        <v>#N/A</v>
      </c>
      <c r="BG51" s="92">
        <f>IF('Management and Hedging'!$G$13="yes",BH51+BI51,CQ51)</f>
        <v>0.11021975092140199</v>
      </c>
      <c r="BH51" s="92">
        <f>HLOOKUP(BH$1,'Asset Returns'!$F$1:$ZY$109,ROW(),0)*'Management and Hedging'!$G$10</f>
        <v>3.0645160000000001E-2</v>
      </c>
      <c r="BI51" s="92">
        <f>HLOOKUP(BI$1,'Asset Returns'!$F$1:$ZY$109,ROW(),0)*'Management and Hedging'!$G$11</f>
        <v>7.9574590921401983E-2</v>
      </c>
      <c r="BJ51" s="92">
        <f>HLOOKUP(BJ$1,'AC4'!$F$1:$AC$109,ROW(),0)</f>
        <v>0.1532258</v>
      </c>
      <c r="BK51" s="92">
        <f>HLOOKUP(BK$1,'AC4'!$F$1:$AC$109,ROW(),0)</f>
        <v>9.9468238651752472E-2</v>
      </c>
      <c r="BL51" s="138">
        <f ca="1">'Management and Hedging'!$R$34</f>
        <v>2.5919346055080732</v>
      </c>
      <c r="BM51" s="138">
        <f ca="1">'Management and Hedging'!$R$36</f>
        <v>-2.1312105104673718</v>
      </c>
      <c r="BN51" s="138">
        <f>'Management and Hedging'!$R$38</f>
        <v>-1.1865814872722835</v>
      </c>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343">
        <f>CK50*(1+BA51+'Risk Factors'!$J51)</f>
        <v>0.18241546727052857</v>
      </c>
      <c r="CL51" s="343">
        <f>CL50*(1+BB51+'Risk Factors'!$J51)</f>
        <v>0.59557638090950515</v>
      </c>
      <c r="CN51" s="343">
        <f t="shared" si="9"/>
        <v>0.23446963833522858</v>
      </c>
      <c r="CO51" s="343">
        <f t="shared" si="12"/>
        <v>0.7655303616647714</v>
      </c>
      <c r="CP51" s="418">
        <f t="shared" si="10"/>
        <v>0.77799184818003375</v>
      </c>
      <c r="CQ51" s="343">
        <f t="shared" si="13"/>
        <v>6.7689768661414629E-2</v>
      </c>
      <c r="CS51" s="92"/>
      <c r="CT51" s="260"/>
      <c r="CU51" s="260"/>
      <c r="CV51" s="260"/>
      <c r="CW51" s="260"/>
      <c r="CX51" s="260"/>
      <c r="CY51" s="260"/>
      <c r="CZ51" s="260"/>
      <c r="DB51" s="325"/>
      <c r="DC51" s="92"/>
      <c r="DD51" s="92"/>
      <c r="DE51" s="260"/>
      <c r="DF51" s="260"/>
      <c r="DG51" s="260"/>
      <c r="DH51" s="260"/>
      <c r="DI51" s="260"/>
    </row>
    <row r="52" spans="6:113">
      <c r="F52" s="421">
        <v>41729</v>
      </c>
      <c r="G52" s="92">
        <f>IF(Portfolios!$G$16="yes",SUM(T52:X52),AX52)</f>
        <v>3.7165919505059715E-2</v>
      </c>
      <c r="H52" s="138" t="e">
        <f>IF(IF(Portfolios!$J$10="no",'AC3'!Y52,'AC3'!AE52)=0,NA(),IF(Portfolios!$J$10="no",Y52,AE52))</f>
        <v>#N/A</v>
      </c>
      <c r="I52" s="138" t="e">
        <f>IF(Portfolios!$J$11="no",NA(),IF(IF(Portfolios!$J$10="no",'AC3'!Z52,'AC3'!AF52)=0,NA(),IF(Portfolios!$J$10="no",Z52,AF52)))</f>
        <v>#N/A</v>
      </c>
      <c r="J52" s="138" t="e">
        <f>IF(Portfolios!$J$11="no",NA(),IF(IF(Portfolios!$J$10="no",'AC3'!AA52,'AC3'!AG52)=0,NA(),IF(Portfolios!$J$10="no",AA52,AG52)))</f>
        <v>#N/A</v>
      </c>
      <c r="K52" s="138" t="e">
        <f>IF(Portfolios!$J$11="no",NA(),IF(IF(Portfolios!$J$10="no",'AC3'!AB52,'AC3'!AH52)=0,NA(),IF(Portfolios!$J$10="no",AB52,AH52)))</f>
        <v>#N/A</v>
      </c>
      <c r="L52" s="138" t="e">
        <f>IF(Portfolios!$J$11="no",NA(),IF(IF(Portfolios!$J$10="no",'AC3'!AC52,'AC3'!AI52)=0,NA(),IF(Portfolios!$J$10="no",AC52,AI52)))</f>
        <v>#N/A</v>
      </c>
      <c r="M52" s="138" t="e">
        <f>IF(Portfolios!$J$11="no",NA(),IF(IF(Portfolios!$J$10="no",'AC3'!AD52,'AC3'!AJ52)=0,NA(),IF(Portfolios!$J$10="no",AD52,AJ52)))</f>
        <v>#N/A</v>
      </c>
      <c r="N52" s="92">
        <f>G52-'Risk Factors'!J52</f>
        <v>3.7165919505059715E-2</v>
      </c>
      <c r="O52" s="260">
        <f>HLOOKUP(O$1,'Asset Returns'!$F$1:$N$109,ROW(),0)-'Risk Factors'!$J52</f>
        <v>-5.3324155509471893E-2</v>
      </c>
      <c r="P52" s="260">
        <f>HLOOKUP(P$1,'Asset Returns'!$F$1:$N$109,ROW(),0)-'Risk Factors'!$J52</f>
        <v>-7.7501009218394756E-3</v>
      </c>
      <c r="Q52" s="260">
        <f>HLOOKUP(Q$1,'Asset Returns'!$F$1:$N$109,ROW(),0)-'Risk Factors'!$J52</f>
        <v>0.11177646368741989</v>
      </c>
      <c r="R52" s="260">
        <f>HLOOKUP(R$1,'Asset Returns'!$F$1:$N$109,ROW(),0)-'Risk Factors'!$J52</f>
        <v>6.113861221820116E-3</v>
      </c>
      <c r="S52" s="260">
        <f>HLOOKUP(S$1,'Asset Returns'!$F$1:$N$109,ROW(),0)-'Risk Factors'!$J52</f>
        <v>3.9531238377094269E-2</v>
      </c>
      <c r="T52" s="260">
        <f>HLOOKUP(T$1,'Asset Returns'!$F$1:$N$109,ROW(),0)*Portfolios!$G$10</f>
        <v>-5.3324155509471899E-3</v>
      </c>
      <c r="U52" s="260">
        <f>HLOOKUP(U$1,'Asset Returns'!$F$1:$N$109,ROW(),0)*Portfolios!$G$11</f>
        <v>-7.7501009218394756E-4</v>
      </c>
      <c r="V52" s="260">
        <f>HLOOKUP(V$1,'Asset Returns'!$F$1:$N$109,ROW(),0)*Portfolios!$G$12</f>
        <v>3.3532939106225963E-2</v>
      </c>
      <c r="W52" s="260">
        <f>HLOOKUP(W$1,'Asset Returns'!$F$1:$N$109,ROW(),0)*Portfolios!$G$13</f>
        <v>1.8341583665460346E-3</v>
      </c>
      <c r="X52" s="260">
        <f>HLOOKUP(X$1,'Asset Returns'!$F$1:$N$109,ROW(),0)*Portfolios!$G$14</f>
        <v>7.9062476754188527E-3</v>
      </c>
      <c r="Y52" s="138">
        <f>Portfolios!$R$34</f>
        <v>-0.68211369708646341</v>
      </c>
      <c r="Z52" s="138">
        <f>Portfolios!$P$11</f>
        <v>0.9378377404978776</v>
      </c>
      <c r="AA52" s="138">
        <f>Portfolios!$P$12</f>
        <v>0.64097224418739052</v>
      </c>
      <c r="AB52" s="138">
        <f>Portfolios!$P$13</f>
        <v>-2.1312105104673718</v>
      </c>
      <c r="AC52" s="138">
        <f>Portfolios!$P$14</f>
        <v>-0.78557102570241866</v>
      </c>
      <c r="AD52" s="138">
        <f>Portfolios!$P$15</f>
        <v>0.17519882647973573</v>
      </c>
      <c r="AE52" s="183"/>
      <c r="AF52" s="183"/>
      <c r="AG52" s="183"/>
      <c r="AH52" s="183"/>
      <c r="AI52" s="183"/>
      <c r="AJ52" s="183"/>
      <c r="AL52" s="343">
        <f>AL51*(1+O52+'Risk Factors'!$J52)</f>
        <v>9.6946891400473953E-2</v>
      </c>
      <c r="AM52" s="343">
        <f>AM51*(1+P52+'Risk Factors'!$J52)</f>
        <v>0.20804504562591886</v>
      </c>
      <c r="AN52" s="343">
        <f>AN51*(1+Q52+'Risk Factors'!$J52)</f>
        <v>0.19631163310223418</v>
      </c>
      <c r="AO52" s="343">
        <f>AO51*(1+R52+'Risk Factors'!$J52)</f>
        <v>0.44333605220525113</v>
      </c>
      <c r="AP52" s="343">
        <f>AP51*(1+S52+'Risk Factors'!$J52)</f>
        <v>0.31712394068759975</v>
      </c>
      <c r="AR52" s="343">
        <f t="shared" si="15"/>
        <v>7.6834435738753135E-2</v>
      </c>
      <c r="AS52" s="343">
        <f t="shared" si="16"/>
        <v>0.16488433469082309</v>
      </c>
      <c r="AT52" s="343">
        <f t="shared" si="17"/>
        <v>0.15558511820719972</v>
      </c>
      <c r="AU52" s="343">
        <f t="shared" si="18"/>
        <v>0.3513622244278618</v>
      </c>
      <c r="AV52" s="343">
        <f t="shared" si="19"/>
        <v>0.25133388693536207</v>
      </c>
      <c r="AW52" s="418">
        <f t="shared" si="20"/>
        <v>1.2617635630214781</v>
      </c>
      <c r="AX52" s="343">
        <f t="shared" si="11"/>
        <v>2.2201589538619615E-2</v>
      </c>
      <c r="AZ52" s="421">
        <v>41729</v>
      </c>
      <c r="BA52" s="92">
        <f>HLOOKUP(BA$1,'AC4'!$F$1:$AC$109,ROW(),0)*'Management and Hedging'!$G$10</f>
        <v>-1.7902100000000001E-2</v>
      </c>
      <c r="BB52" s="92">
        <f>HLOOKUP(BB$1,'AC4'!$F$1:$AC$109,ROW(),0)*'Management and Hedging'!$G$11</f>
        <v>8.9421170949935916E-2</v>
      </c>
      <c r="BC52" s="92">
        <f>IF('Management and Hedging'!$G$13="yes",BA52+BB52,CQ52)</f>
        <v>7.1519070949935912E-2</v>
      </c>
      <c r="BD52" s="138" t="e">
        <f>IF(IF('Management and Hedging'!$J$10="no",BL52,BO52)=0,NA(),IF('Management and Hedging'!$J$10="no",BL52,BO52))</f>
        <v>#N/A</v>
      </c>
      <c r="BE52" s="138" t="e">
        <f>IF(IF('Management and Hedging'!$J$10="no",BM52,BP52)=0,NA(),IF('Management and Hedging'!$J$10="no",BM52,BP52))</f>
        <v>#N/A</v>
      </c>
      <c r="BF52" s="138" t="e">
        <f>IF(IF('Management and Hedging'!$J$10="no",BN52,BQ52)=0,NA(),IF('Management and Hedging'!$J$10="no",BN52,BQ52))</f>
        <v>#N/A</v>
      </c>
      <c r="BG52" s="92">
        <f>IF('Management and Hedging'!$G$13="yes",BH52+BI52,CQ52)</f>
        <v>7.1519070949935912E-2</v>
      </c>
      <c r="BH52" s="92">
        <f>HLOOKUP(BH$1,'Asset Returns'!$F$1:$ZY$109,ROW(),0)*'Management and Hedging'!$G$10</f>
        <v>-1.7902100000000001E-2</v>
      </c>
      <c r="BI52" s="92">
        <f>HLOOKUP(BI$1,'Asset Returns'!$F$1:$ZY$109,ROW(),0)*'Management and Hedging'!$G$11</f>
        <v>8.9421170949935916E-2</v>
      </c>
      <c r="BJ52" s="92">
        <f>HLOOKUP(BJ$1,'AC4'!$F$1:$AC$109,ROW(),0)</f>
        <v>-8.9510500000000007E-2</v>
      </c>
      <c r="BK52" s="92">
        <f>HLOOKUP(BK$1,'AC4'!$F$1:$AC$109,ROW(),0)</f>
        <v>0.11177646368741989</v>
      </c>
      <c r="BL52" s="138">
        <f ca="1">'Management and Hedging'!$R$34</f>
        <v>2.5919346055080732</v>
      </c>
      <c r="BM52" s="138">
        <f ca="1">'Management and Hedging'!$R$36</f>
        <v>-2.1312105104673718</v>
      </c>
      <c r="BN52" s="138">
        <f>'Management and Hedging'!$R$38</f>
        <v>-1.1865814872722835</v>
      </c>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343">
        <f>CK51*(1+BA52+'Risk Factors'!$J52)</f>
        <v>0.17914984733390482</v>
      </c>
      <c r="CL52" s="343">
        <f>CL51*(1+BB52+'Risk Factors'!$J52)</f>
        <v>0.64883351828055824</v>
      </c>
      <c r="CN52" s="343">
        <f t="shared" si="9"/>
        <v>0.2163688967361731</v>
      </c>
      <c r="CO52" s="343">
        <f t="shared" si="12"/>
        <v>0.7836311032638269</v>
      </c>
      <c r="CP52" s="418">
        <f t="shared" si="10"/>
        <v>0.82798336561446306</v>
      </c>
      <c r="CQ52" s="343">
        <f t="shared" si="13"/>
        <v>6.4257122425350754E-2</v>
      </c>
      <c r="CS52" s="92"/>
      <c r="CT52" s="260"/>
      <c r="CU52" s="260"/>
      <c r="CV52" s="260"/>
      <c r="CW52" s="260"/>
      <c r="CX52" s="260"/>
      <c r="CY52" s="260"/>
      <c r="CZ52" s="260"/>
      <c r="DB52" s="325"/>
      <c r="DC52" s="92"/>
      <c r="DD52" s="92"/>
      <c r="DE52" s="260"/>
      <c r="DF52" s="260"/>
      <c r="DG52" s="260"/>
      <c r="DH52" s="260"/>
      <c r="DI52" s="260"/>
    </row>
    <row r="53" spans="6:113">
      <c r="F53" s="421">
        <v>41759</v>
      </c>
      <c r="G53" s="92">
        <f>IF(Portfolios!$G$16="yes",SUM(T53:X53),AX53)</f>
        <v>2.9848479107022284E-2</v>
      </c>
      <c r="H53" s="138" t="e">
        <f>IF(IF(Portfolios!$J$10="no",'AC3'!Y53,'AC3'!AE53)=0,NA(),IF(Portfolios!$J$10="no",Y53,AE53))</f>
        <v>#N/A</v>
      </c>
      <c r="I53" s="138" t="e">
        <f>IF(Portfolios!$J$11="no",NA(),IF(IF(Portfolios!$J$10="no",'AC3'!Z53,'AC3'!AF53)=0,NA(),IF(Portfolios!$J$10="no",Z53,AF53)))</f>
        <v>#N/A</v>
      </c>
      <c r="J53" s="138" t="e">
        <f>IF(Portfolios!$J$11="no",NA(),IF(IF(Portfolios!$J$10="no",'AC3'!AA53,'AC3'!AG53)=0,NA(),IF(Portfolios!$J$10="no",AA53,AG53)))</f>
        <v>#N/A</v>
      </c>
      <c r="K53" s="138" t="e">
        <f>IF(Portfolios!$J$11="no",NA(),IF(IF(Portfolios!$J$10="no",'AC3'!AB53,'AC3'!AH53)=0,NA(),IF(Portfolios!$J$10="no",AB53,AH53)))</f>
        <v>#N/A</v>
      </c>
      <c r="L53" s="138" t="e">
        <f>IF(Portfolios!$J$11="no",NA(),IF(IF(Portfolios!$J$10="no",'AC3'!AC53,'AC3'!AI53)=0,NA(),IF(Portfolios!$J$10="no",AC53,AI53)))</f>
        <v>#N/A</v>
      </c>
      <c r="M53" s="138" t="e">
        <f>IF(Portfolios!$J$11="no",NA(),IF(IF(Portfolios!$J$10="no",'AC3'!AD53,'AC3'!AJ53)=0,NA(),IF(Portfolios!$J$10="no",AD53,AJ53)))</f>
        <v>#N/A</v>
      </c>
      <c r="N53" s="92">
        <f>G53-'Risk Factors'!J53</f>
        <v>2.9848479107022284E-2</v>
      </c>
      <c r="O53" s="260">
        <f>HLOOKUP(O$1,'Asset Returns'!$F$1:$N$109,ROW(),0)-'Risk Factors'!$J53</f>
        <v>5.3363952785730362E-2</v>
      </c>
      <c r="P53" s="260">
        <f>HLOOKUP(P$1,'Asset Returns'!$F$1:$N$109,ROW(),0)-'Risk Factors'!$J53</f>
        <v>3.0166223645210266E-2</v>
      </c>
      <c r="Q53" s="260">
        <f>HLOOKUP(Q$1,'Asset Returns'!$F$1:$N$109,ROW(),0)-'Risk Factors'!$J53</f>
        <v>0.10333398729562759</v>
      </c>
      <c r="R53" s="260">
        <f>HLOOKUP(R$1,'Asset Returns'!$F$1:$N$109,ROW(),0)-'Risk Factors'!$J53</f>
        <v>-4.5466713607311249E-2</v>
      </c>
      <c r="S53" s="260">
        <f>HLOOKUP(S$1,'Asset Returns'!$F$1:$N$109,ROW(),0)-'Risk Factors'!$J53</f>
        <v>2.0676396787166595E-2</v>
      </c>
      <c r="T53" s="260">
        <f>HLOOKUP(T$1,'Asset Returns'!$F$1:$N$109,ROW(),0)*Portfolios!$G$10</f>
        <v>5.3363952785730369E-3</v>
      </c>
      <c r="U53" s="260">
        <f>HLOOKUP(U$1,'Asset Returns'!$F$1:$N$109,ROW(),0)*Portfolios!$G$11</f>
        <v>3.0166223645210267E-3</v>
      </c>
      <c r="V53" s="260">
        <f>HLOOKUP(V$1,'Asset Returns'!$F$1:$N$109,ROW(),0)*Portfolios!$G$12</f>
        <v>3.1000196188688278E-2</v>
      </c>
      <c r="W53" s="260">
        <f>HLOOKUP(W$1,'Asset Returns'!$F$1:$N$109,ROW(),0)*Portfolios!$G$13</f>
        <v>-1.3640014082193374E-2</v>
      </c>
      <c r="X53" s="260">
        <f>HLOOKUP(X$1,'Asset Returns'!$F$1:$N$109,ROW(),0)*Portfolios!$G$14</f>
        <v>4.1352793574333186E-3</v>
      </c>
      <c r="Y53" s="138">
        <f>Portfolios!$R$34</f>
        <v>-0.68211369708646341</v>
      </c>
      <c r="Z53" s="138">
        <f>Portfolios!$P$11</f>
        <v>0.9378377404978776</v>
      </c>
      <c r="AA53" s="138">
        <f>Portfolios!$P$12</f>
        <v>0.64097224418739052</v>
      </c>
      <c r="AB53" s="138">
        <f>Portfolios!$P$13</f>
        <v>-2.1312105104673718</v>
      </c>
      <c r="AC53" s="138">
        <f>Portfolios!$P$14</f>
        <v>-0.78557102570241866</v>
      </c>
      <c r="AD53" s="138">
        <f>Portfolios!$P$15</f>
        <v>0.17519882647973573</v>
      </c>
      <c r="AE53" s="183"/>
      <c r="AF53" s="183"/>
      <c r="AG53" s="183"/>
      <c r="AH53" s="183"/>
      <c r="AI53" s="183"/>
      <c r="AJ53" s="183"/>
      <c r="AL53" s="343">
        <f>AL52*(1+O53+'Risk Factors'!$J53)</f>
        <v>0.10212036073589217</v>
      </c>
      <c r="AM53" s="343">
        <f>AM52*(1+P53+'Risk Factors'!$J53)</f>
        <v>0.21432097900054831</v>
      </c>
      <c r="AN53" s="343">
        <f>AN52*(1+Q53+'Risk Factors'!$J53)</f>
        <v>0.21659729690320434</v>
      </c>
      <c r="AO53" s="343">
        <f>AO52*(1+R53+'Risk Factors'!$J53)</f>
        <v>0.42317901888783899</v>
      </c>
      <c r="AP53" s="343">
        <f>AP52*(1+S53+'Risk Factors'!$J53)</f>
        <v>0.32368092111596647</v>
      </c>
      <c r="AR53" s="343">
        <f t="shared" si="15"/>
        <v>7.978785397488608E-2</v>
      </c>
      <c r="AS53" s="343">
        <f t="shared" si="16"/>
        <v>0.1674515332008632</v>
      </c>
      <c r="AT53" s="343">
        <f t="shared" si="17"/>
        <v>0.16923004748644488</v>
      </c>
      <c r="AU53" s="343">
        <f t="shared" si="18"/>
        <v>0.3306348070154364</v>
      </c>
      <c r="AV53" s="343">
        <f t="shared" si="19"/>
        <v>0.25289575832236927</v>
      </c>
      <c r="AW53" s="418">
        <f t="shared" si="20"/>
        <v>1.2798985766434505</v>
      </c>
      <c r="AX53" s="343">
        <f t="shared" si="11"/>
        <v>1.4372751087014635E-2</v>
      </c>
      <c r="AZ53" s="421">
        <v>41759</v>
      </c>
      <c r="BA53" s="92">
        <f>HLOOKUP(BA$1,'AC4'!$F$1:$AC$109,ROW(),0)*'Management and Hedging'!$G$10</f>
        <v>1.2288799999999999E-3</v>
      </c>
      <c r="BB53" s="92">
        <f>HLOOKUP(BB$1,'AC4'!$F$1:$AC$109,ROW(),0)*'Management and Hedging'!$G$11</f>
        <v>8.2667189836502078E-2</v>
      </c>
      <c r="BC53" s="92">
        <f>IF('Management and Hedging'!$G$13="yes",BA53+BB53,CQ53)</f>
        <v>8.389606983650208E-2</v>
      </c>
      <c r="BD53" s="138" t="e">
        <f>IF(IF('Management and Hedging'!$J$10="no",BL53,BO53)=0,NA(),IF('Management and Hedging'!$J$10="no",BL53,BO53))</f>
        <v>#N/A</v>
      </c>
      <c r="BE53" s="138" t="e">
        <f>IF(IF('Management and Hedging'!$J$10="no",BM53,BP53)=0,NA(),IF('Management and Hedging'!$J$10="no",BM53,BP53))</f>
        <v>#N/A</v>
      </c>
      <c r="BF53" s="138" t="e">
        <f>IF(IF('Management and Hedging'!$J$10="no",BN53,BQ53)=0,NA(),IF('Management and Hedging'!$J$10="no",BN53,BQ53))</f>
        <v>#N/A</v>
      </c>
      <c r="BG53" s="92">
        <f>IF('Management and Hedging'!$G$13="yes",BH53+BI53,CQ53)</f>
        <v>8.389606983650208E-2</v>
      </c>
      <c r="BH53" s="92">
        <f>HLOOKUP(BH$1,'Asset Returns'!$F$1:$ZY$109,ROW(),0)*'Management and Hedging'!$G$10</f>
        <v>1.2288799999999999E-3</v>
      </c>
      <c r="BI53" s="92">
        <f>HLOOKUP(BI$1,'Asset Returns'!$F$1:$ZY$109,ROW(),0)*'Management and Hedging'!$G$11</f>
        <v>8.2667189836502078E-2</v>
      </c>
      <c r="BJ53" s="92">
        <f>HLOOKUP(BJ$1,'AC4'!$F$1:$AC$109,ROW(),0)</f>
        <v>6.1443999999999995E-3</v>
      </c>
      <c r="BK53" s="92">
        <f>HLOOKUP(BK$1,'AC4'!$F$1:$AC$109,ROW(),0)</f>
        <v>0.10333398729562759</v>
      </c>
      <c r="BL53" s="138">
        <f ca="1">'Management and Hedging'!$R$34</f>
        <v>2.5919346055080732</v>
      </c>
      <c r="BM53" s="138">
        <f ca="1">'Management and Hedging'!$R$36</f>
        <v>-2.1312105104673718</v>
      </c>
      <c r="BN53" s="138">
        <f>'Management and Hedging'!$R$38</f>
        <v>-1.1865814872722835</v>
      </c>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343">
        <f>CK52*(1+BA53+'Risk Factors'!$J53)</f>
        <v>0.1793700009982965</v>
      </c>
      <c r="CL53" s="343">
        <f>CL52*(1+BB53+'Risk Factors'!$J53)</f>
        <v>0.70247076190854274</v>
      </c>
      <c r="CN53" s="343">
        <f t="shared" si="9"/>
        <v>0.20340407082910703</v>
      </c>
      <c r="CO53" s="343">
        <f t="shared" si="12"/>
        <v>0.79659592917089295</v>
      </c>
      <c r="CP53" s="418">
        <f t="shared" si="10"/>
        <v>0.88184076290683922</v>
      </c>
      <c r="CQ53" s="343">
        <f t="shared" si="13"/>
        <v>6.5046472585119419E-2</v>
      </c>
      <c r="CS53" s="92"/>
      <c r="CT53" s="260"/>
      <c r="CU53" s="260"/>
      <c r="CV53" s="260"/>
      <c r="CW53" s="260"/>
      <c r="CX53" s="260"/>
      <c r="CY53" s="260"/>
      <c r="CZ53" s="260"/>
      <c r="DB53" s="325"/>
      <c r="DC53" s="92"/>
      <c r="DD53" s="92"/>
      <c r="DE53" s="260"/>
      <c r="DF53" s="260"/>
      <c r="DG53" s="260"/>
      <c r="DH53" s="260"/>
      <c r="DI53" s="260"/>
    </row>
    <row r="54" spans="6:113">
      <c r="F54" s="421">
        <v>41790</v>
      </c>
      <c r="G54" s="92">
        <f>IF(Portfolios!$G$16="yes",SUM(T54:X54),AX54)</f>
        <v>6.8768566939979792E-2</v>
      </c>
      <c r="H54" s="138" t="e">
        <f>IF(IF(Portfolios!$J$10="no",'AC3'!Y54,'AC3'!AE54)=0,NA(),IF(Portfolios!$J$10="no",Y54,AE54))</f>
        <v>#N/A</v>
      </c>
      <c r="I54" s="138" t="e">
        <f>IF(Portfolios!$J$11="no",NA(),IF(IF(Portfolios!$J$10="no",'AC3'!Z54,'AC3'!AF54)=0,NA(),IF(Portfolios!$J$10="no",Z54,AF54)))</f>
        <v>#N/A</v>
      </c>
      <c r="J54" s="138" t="e">
        <f>IF(Portfolios!$J$11="no",NA(),IF(IF(Portfolios!$J$10="no",'AC3'!AA54,'AC3'!AG54)=0,NA(),IF(Portfolios!$J$10="no",AA54,AG54)))</f>
        <v>#N/A</v>
      </c>
      <c r="K54" s="138" t="e">
        <f>IF(Portfolios!$J$11="no",NA(),IF(IF(Portfolios!$J$10="no",'AC3'!AB54,'AC3'!AH54)=0,NA(),IF(Portfolios!$J$10="no",AB54,AH54)))</f>
        <v>#N/A</v>
      </c>
      <c r="L54" s="138" t="e">
        <f>IF(Portfolios!$J$11="no",NA(),IF(IF(Portfolios!$J$10="no",'AC3'!AC54,'AC3'!AI54)=0,NA(),IF(Portfolios!$J$10="no",AC54,AI54)))</f>
        <v>#N/A</v>
      </c>
      <c r="M54" s="138" t="e">
        <f>IF(Portfolios!$J$11="no",NA(),IF(IF(Portfolios!$J$10="no",'AC3'!AD54,'AC3'!AJ54)=0,NA(),IF(Portfolios!$J$10="no",AD54,AJ54)))</f>
        <v>#N/A</v>
      </c>
      <c r="N54" s="92">
        <f>G54-'Risk Factors'!J54</f>
        <v>6.8768566939979792E-2</v>
      </c>
      <c r="O54" s="260">
        <f>HLOOKUP(O$1,'Asset Returns'!$F$1:$N$109,ROW(),0)-'Risk Factors'!$J54</f>
        <v>1.2511732988059521E-2</v>
      </c>
      <c r="P54" s="260">
        <f>HLOOKUP(P$1,'Asset Returns'!$F$1:$N$109,ROW(),0)-'Risk Factors'!$J54</f>
        <v>2.1469922736287117E-2</v>
      </c>
      <c r="Q54" s="260">
        <f>HLOOKUP(Q$1,'Asset Returns'!$F$1:$N$109,ROW(),0)-'Risk Factors'!$J54</f>
        <v>0.20678377151489258</v>
      </c>
      <c r="R54" s="260">
        <f>HLOOKUP(R$1,'Asset Returns'!$F$1:$N$109,ROW(),0)-'Risk Factors'!$J54</f>
        <v>4.8574361950159073E-2</v>
      </c>
      <c r="S54" s="260">
        <f>HLOOKUP(S$1,'Asset Returns'!$F$1:$N$109,ROW(),0)-'Risk Factors'!$J54</f>
        <v>-5.6185193359851837E-2</v>
      </c>
      <c r="T54" s="260">
        <f>HLOOKUP(T$1,'Asset Returns'!$F$1:$N$109,ROW(),0)*Portfolios!$G$10</f>
        <v>1.2511732988059522E-3</v>
      </c>
      <c r="U54" s="260">
        <f>HLOOKUP(U$1,'Asset Returns'!$F$1:$N$109,ROW(),0)*Portfolios!$G$11</f>
        <v>2.1469922736287116E-3</v>
      </c>
      <c r="V54" s="260">
        <f>HLOOKUP(V$1,'Asset Returns'!$F$1:$N$109,ROW(),0)*Portfolios!$G$12</f>
        <v>6.2035131454467769E-2</v>
      </c>
      <c r="W54" s="260">
        <f>HLOOKUP(W$1,'Asset Returns'!$F$1:$N$109,ROW(),0)*Portfolios!$G$13</f>
        <v>1.4572308585047721E-2</v>
      </c>
      <c r="X54" s="260">
        <f>HLOOKUP(X$1,'Asset Returns'!$F$1:$N$109,ROW(),0)*Portfolios!$G$14</f>
        <v>-1.1237038671970364E-2</v>
      </c>
      <c r="Y54" s="138">
        <f>Portfolios!$R$34</f>
        <v>-0.68211369708646341</v>
      </c>
      <c r="Z54" s="138">
        <f>Portfolios!$P$11</f>
        <v>0.9378377404978776</v>
      </c>
      <c r="AA54" s="138">
        <f>Portfolios!$P$12</f>
        <v>0.64097224418739052</v>
      </c>
      <c r="AB54" s="138">
        <f>Portfolios!$P$13</f>
        <v>-2.1312105104673718</v>
      </c>
      <c r="AC54" s="138">
        <f>Portfolios!$P$14</f>
        <v>-0.78557102570241866</v>
      </c>
      <c r="AD54" s="138">
        <f>Portfolios!$P$15</f>
        <v>0.17519882647973573</v>
      </c>
      <c r="AE54" s="183"/>
      <c r="AF54" s="183"/>
      <c r="AG54" s="183"/>
      <c r="AH54" s="183"/>
      <c r="AI54" s="183"/>
      <c r="AJ54" s="183"/>
      <c r="AL54" s="343">
        <f>AL53*(1+O54+'Risk Factors'!$J54)</f>
        <v>0.10339806342206398</v>
      </c>
      <c r="AM54" s="343">
        <f>AM53*(1+P54+'Risk Factors'!$J54)</f>
        <v>0.21892243386045548</v>
      </c>
      <c r="AN54" s="343">
        <f>AN53*(1+Q54+'Risk Factors'!$J54)</f>
        <v>0.26138610285677988</v>
      </c>
      <c r="AO54" s="343">
        <f>AO53*(1+R54+'Risk Factors'!$J54)</f>
        <v>0.44373466972101006</v>
      </c>
      <c r="AP54" s="343">
        <f>AP53*(1+S54+'Risk Factors'!$J54)</f>
        <v>0.30549484597617094</v>
      </c>
      <c r="AR54" s="343">
        <f t="shared" si="15"/>
        <v>7.7571657181167181E-2</v>
      </c>
      <c r="AS54" s="343">
        <f t="shared" si="16"/>
        <v>0.16424075487149012</v>
      </c>
      <c r="AT54" s="343">
        <f t="shared" si="17"/>
        <v>0.19609799730930677</v>
      </c>
      <c r="AU54" s="343">
        <f t="shared" si="18"/>
        <v>0.33290017762220037</v>
      </c>
      <c r="AV54" s="343">
        <f t="shared" si="19"/>
        <v>0.22918941301583576</v>
      </c>
      <c r="AW54" s="418">
        <f t="shared" si="20"/>
        <v>1.3329361158364801</v>
      </c>
      <c r="AX54" s="343">
        <f t="shared" si="11"/>
        <v>4.143886098547056E-2</v>
      </c>
      <c r="AZ54" s="421">
        <v>41790</v>
      </c>
      <c r="BA54" s="92">
        <f>HLOOKUP(BA$1,'AC4'!$F$1:$AC$109,ROW(),0)*'Management and Hedging'!$G$10</f>
        <v>-9.7710000000000019E-3</v>
      </c>
      <c r="BB54" s="92">
        <f>HLOOKUP(BB$1,'AC4'!$F$1:$AC$109,ROW(),0)*'Management and Hedging'!$G$11</f>
        <v>0.16542701721191408</v>
      </c>
      <c r="BC54" s="92">
        <f>IF('Management and Hedging'!$G$13="yes",BA54+BB54,CQ54)</f>
        <v>0.15565601721191408</v>
      </c>
      <c r="BD54" s="138" t="e">
        <f>IF(IF('Management and Hedging'!$J$10="no",BL54,BO54)=0,NA(),IF('Management and Hedging'!$J$10="no",BL54,BO54))</f>
        <v>#N/A</v>
      </c>
      <c r="BE54" s="138" t="e">
        <f>IF(IF('Management and Hedging'!$J$10="no",BM54,BP54)=0,NA(),IF('Management and Hedging'!$J$10="no",BM54,BP54))</f>
        <v>#N/A</v>
      </c>
      <c r="BF54" s="138" t="e">
        <f>IF(IF('Management and Hedging'!$J$10="no",BN54,BQ54)=0,NA(),IF('Management and Hedging'!$J$10="no",BN54,BQ54))</f>
        <v>#N/A</v>
      </c>
      <c r="BG54" s="92">
        <f>IF('Management and Hedging'!$G$13="yes",BH54+BI54,CQ54)</f>
        <v>0.15565601721191408</v>
      </c>
      <c r="BH54" s="92">
        <f>HLOOKUP(BH$1,'Asset Returns'!$F$1:$ZY$109,ROW(),0)*'Management and Hedging'!$G$10</f>
        <v>-9.7710000000000019E-3</v>
      </c>
      <c r="BI54" s="92">
        <f>HLOOKUP(BI$1,'Asset Returns'!$F$1:$ZY$109,ROW(),0)*'Management and Hedging'!$G$11</f>
        <v>0.16542701721191408</v>
      </c>
      <c r="BJ54" s="92">
        <f>HLOOKUP(BJ$1,'AC4'!$F$1:$AC$109,ROW(),0)</f>
        <v>-4.8855000000000003E-2</v>
      </c>
      <c r="BK54" s="92">
        <f>HLOOKUP(BK$1,'AC4'!$F$1:$AC$109,ROW(),0)</f>
        <v>0.20678377151489258</v>
      </c>
      <c r="BL54" s="138">
        <f ca="1">'Management and Hedging'!$R$34</f>
        <v>2.5919346055080732</v>
      </c>
      <c r="BM54" s="138">
        <f ca="1">'Management and Hedging'!$R$36</f>
        <v>-2.1312105104673718</v>
      </c>
      <c r="BN54" s="138">
        <f>'Management and Hedging'!$R$38</f>
        <v>-1.1865814872722835</v>
      </c>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343">
        <f>CK53*(1+BA54+'Risk Factors'!$J54)</f>
        <v>0.17761737671854216</v>
      </c>
      <c r="CL54" s="343">
        <f>CL53*(1+BB54+'Risk Factors'!$J54)</f>
        <v>0.8186784047296537</v>
      </c>
      <c r="CN54" s="343">
        <f t="shared" si="9"/>
        <v>0.17827775649151203</v>
      </c>
      <c r="CO54" s="343">
        <f t="shared" si="12"/>
        <v>0.82172224350848799</v>
      </c>
      <c r="CP54" s="418">
        <f t="shared" si="10"/>
        <v>0.99629578144819586</v>
      </c>
      <c r="CQ54" s="343">
        <f t="shared" si="13"/>
        <v>0.12979102730982284</v>
      </c>
      <c r="CS54" s="92"/>
      <c r="CT54" s="260"/>
      <c r="CU54" s="260"/>
      <c r="CV54" s="260"/>
      <c r="CW54" s="260"/>
      <c r="CX54" s="260"/>
      <c r="CY54" s="260"/>
      <c r="CZ54" s="260"/>
      <c r="DB54" s="325"/>
      <c r="DC54" s="92"/>
      <c r="DD54" s="92"/>
      <c r="DE54" s="260"/>
      <c r="DF54" s="260"/>
      <c r="DG54" s="260"/>
      <c r="DH54" s="260"/>
      <c r="DI54" s="260"/>
    </row>
    <row r="55" spans="6:113">
      <c r="F55" s="421">
        <v>41820</v>
      </c>
      <c r="G55" s="92">
        <f>IF(Portfolios!$G$16="yes",SUM(T55:X55),AX55)</f>
        <v>3.9878034964203821E-3</v>
      </c>
      <c r="H55" s="138" t="e">
        <f>IF(IF(Portfolios!$J$10="no",'AC3'!Y55,'AC3'!AE55)=0,NA(),IF(Portfolios!$J$10="no",Y55,AE55))</f>
        <v>#N/A</v>
      </c>
      <c r="I55" s="138" t="e">
        <f>IF(Portfolios!$J$11="no",NA(),IF(IF(Portfolios!$J$10="no",'AC3'!Z55,'AC3'!AF55)=0,NA(),IF(Portfolios!$J$10="no",Z55,AF55)))</f>
        <v>#N/A</v>
      </c>
      <c r="J55" s="138" t="e">
        <f>IF(Portfolios!$J$11="no",NA(),IF(IF(Portfolios!$J$10="no",'AC3'!AA55,'AC3'!AG55)=0,NA(),IF(Portfolios!$J$10="no",AA55,AG55)))</f>
        <v>#N/A</v>
      </c>
      <c r="K55" s="138" t="e">
        <f>IF(Portfolios!$J$11="no",NA(),IF(IF(Portfolios!$J$10="no",'AC3'!AB55,'AC3'!AH55)=0,NA(),IF(Portfolios!$J$10="no",AB55,AH55)))</f>
        <v>#N/A</v>
      </c>
      <c r="L55" s="138" t="e">
        <f>IF(Portfolios!$J$11="no",NA(),IF(IF(Portfolios!$J$10="no",'AC3'!AC55,'AC3'!AI55)=0,NA(),IF(Portfolios!$J$10="no",AC55,AI55)))</f>
        <v>#N/A</v>
      </c>
      <c r="M55" s="138" t="e">
        <f>IF(Portfolios!$J$11="no",NA(),IF(IF(Portfolios!$J$10="no",'AC3'!AD55,'AC3'!AJ55)=0,NA(),IF(Portfolios!$J$10="no",AD55,AJ55)))</f>
        <v>#N/A</v>
      </c>
      <c r="N55" s="92">
        <f>G55-'Risk Factors'!J55</f>
        <v>3.9878034964203821E-3</v>
      </c>
      <c r="O55" s="260">
        <f>HLOOKUP(O$1,'Asset Returns'!$F$1:$N$109,ROW(),0)-'Risk Factors'!$J55</f>
        <v>4.3488860130310059E-2</v>
      </c>
      <c r="P55" s="260">
        <f>HLOOKUP(P$1,'Asset Returns'!$F$1:$N$109,ROW(),0)-'Risk Factors'!$J55</f>
        <v>2.0923832431435585E-2</v>
      </c>
      <c r="Q55" s="260">
        <f>HLOOKUP(Q$1,'Asset Returns'!$F$1:$N$109,ROW(),0)-'Risk Factors'!$J55</f>
        <v>-5.7656370103359222E-2</v>
      </c>
      <c r="R55" s="260">
        <f>HLOOKUP(R$1,'Asset Returns'!$F$1:$N$109,ROW(),0)-'Risk Factors'!$J55</f>
        <v>6.0651939362287521E-2</v>
      </c>
      <c r="S55" s="260">
        <f>HLOOKUP(S$1,'Asset Returns'!$F$1:$N$109,ROW(),0)-'Risk Factors'!$J55</f>
        <v>-1.6760682687163353E-2</v>
      </c>
      <c r="T55" s="260">
        <f>HLOOKUP(T$1,'Asset Returns'!$F$1:$N$109,ROW(),0)*Portfolios!$G$10</f>
        <v>4.3488860130310057E-3</v>
      </c>
      <c r="U55" s="260">
        <f>HLOOKUP(U$1,'Asset Returns'!$F$1:$N$109,ROW(),0)*Portfolios!$G$11</f>
        <v>2.0923832431435584E-3</v>
      </c>
      <c r="V55" s="260">
        <f>HLOOKUP(V$1,'Asset Returns'!$F$1:$N$109,ROW(),0)*Portfolios!$G$12</f>
        <v>-1.7296911031007767E-2</v>
      </c>
      <c r="W55" s="260">
        <f>HLOOKUP(W$1,'Asset Returns'!$F$1:$N$109,ROW(),0)*Portfolios!$G$13</f>
        <v>1.8195581808686256E-2</v>
      </c>
      <c r="X55" s="260">
        <f>HLOOKUP(X$1,'Asset Returns'!$F$1:$N$109,ROW(),0)*Portfolios!$G$14</f>
        <v>-3.3521365374326699E-3</v>
      </c>
      <c r="Y55" s="138">
        <f>Portfolios!$R$34</f>
        <v>-0.68211369708646341</v>
      </c>
      <c r="Z55" s="138">
        <f>Portfolios!$P$11</f>
        <v>0.9378377404978776</v>
      </c>
      <c r="AA55" s="138">
        <f>Portfolios!$P$12</f>
        <v>0.64097224418739052</v>
      </c>
      <c r="AB55" s="138">
        <f>Portfolios!$P$13</f>
        <v>-2.1312105104673718</v>
      </c>
      <c r="AC55" s="138">
        <f>Portfolios!$P$14</f>
        <v>-0.78557102570241866</v>
      </c>
      <c r="AD55" s="138">
        <f>Portfolios!$P$15</f>
        <v>0.17519882647973573</v>
      </c>
      <c r="AE55" s="183"/>
      <c r="AF55" s="183"/>
      <c r="AG55" s="183"/>
      <c r="AH55" s="183"/>
      <c r="AI55" s="183"/>
      <c r="AJ55" s="183"/>
      <c r="AL55" s="343">
        <f>AL54*(1+O55+'Risk Factors'!$J55)</f>
        <v>0.10789472733997105</v>
      </c>
      <c r="AM55" s="343">
        <f>AM54*(1+P55+'Risk Factors'!$J55)</f>
        <v>0.22350313018203369</v>
      </c>
      <c r="AN55" s="343">
        <f>AN54*(1+Q55+'Risk Factors'!$J55)</f>
        <v>0.24631552897059467</v>
      </c>
      <c r="AO55" s="343">
        <f>AO54*(1+R55+'Risk Factors'!$J55)</f>
        <v>0.47064803800187344</v>
      </c>
      <c r="AP55" s="343">
        <f>AP54*(1+S55+'Risk Factors'!$J55)</f>
        <v>0.30037454380020051</v>
      </c>
      <c r="AR55" s="343">
        <f t="shared" si="15"/>
        <v>7.9996922953268559E-2</v>
      </c>
      <c r="AS55" s="343">
        <f t="shared" si="16"/>
        <v>0.16571303460130046</v>
      </c>
      <c r="AT55" s="343">
        <f t="shared" si="17"/>
        <v>0.1826269446065365</v>
      </c>
      <c r="AU55" s="343">
        <f t="shared" si="18"/>
        <v>0.34895490968254933</v>
      </c>
      <c r="AV55" s="343">
        <f t="shared" si="19"/>
        <v>0.22270818815634516</v>
      </c>
      <c r="AW55" s="418">
        <f t="shared" si="20"/>
        <v>1.3487359682946733</v>
      </c>
      <c r="AX55" s="343">
        <f t="shared" si="11"/>
        <v>1.1853420633199718E-2</v>
      </c>
      <c r="AZ55" s="421">
        <v>41820</v>
      </c>
      <c r="BA55" s="92">
        <f>HLOOKUP(BA$1,'AC4'!$F$1:$AC$109,ROW(),0)*'Management and Hedging'!$G$10</f>
        <v>3.6918140000000002E-2</v>
      </c>
      <c r="BB55" s="92">
        <f>HLOOKUP(BB$1,'AC4'!$F$1:$AC$109,ROW(),0)*'Management and Hedging'!$G$11</f>
        <v>-4.6125096082687382E-2</v>
      </c>
      <c r="BC55" s="92">
        <f>IF('Management and Hedging'!$G$13="yes",BA55+BB55,CQ55)</f>
        <v>-9.20695608268738E-3</v>
      </c>
      <c r="BD55" s="138" t="e">
        <f>IF(IF('Management and Hedging'!$J$10="no",BL55,BO55)=0,NA(),IF('Management and Hedging'!$J$10="no",BL55,BO55))</f>
        <v>#N/A</v>
      </c>
      <c r="BE55" s="138" t="e">
        <f>IF(IF('Management and Hedging'!$J$10="no",BM55,BP55)=0,NA(),IF('Management and Hedging'!$J$10="no",BM55,BP55))</f>
        <v>#N/A</v>
      </c>
      <c r="BF55" s="138" t="e">
        <f>IF(IF('Management and Hedging'!$J$10="no",BN55,BQ55)=0,NA(),IF('Management and Hedging'!$J$10="no",BN55,BQ55))</f>
        <v>#N/A</v>
      </c>
      <c r="BG55" s="92">
        <f>IF('Management and Hedging'!$G$13="yes",BH55+BI55,CQ55)</f>
        <v>-9.20695608268738E-3</v>
      </c>
      <c r="BH55" s="92">
        <f>HLOOKUP(BH$1,'Asset Returns'!$F$1:$ZY$109,ROW(),0)*'Management and Hedging'!$G$10</f>
        <v>3.6918140000000002E-2</v>
      </c>
      <c r="BI55" s="92">
        <f>HLOOKUP(BI$1,'Asset Returns'!$F$1:$ZY$109,ROW(),0)*'Management and Hedging'!$G$11</f>
        <v>-4.6125096082687382E-2</v>
      </c>
      <c r="BJ55" s="92">
        <f>HLOOKUP(BJ$1,'AC4'!$F$1:$AC$109,ROW(),0)</f>
        <v>0.1845907</v>
      </c>
      <c r="BK55" s="92">
        <f>HLOOKUP(BK$1,'AC4'!$F$1:$AC$109,ROW(),0)</f>
        <v>-5.7656370103359222E-2</v>
      </c>
      <c r="BL55" s="138">
        <f ca="1">'Management and Hedging'!$R$34</f>
        <v>2.5919346055080732</v>
      </c>
      <c r="BM55" s="138">
        <f ca="1">'Management and Hedging'!$R$36</f>
        <v>-2.1312105104673718</v>
      </c>
      <c r="BN55" s="138">
        <f>'Management and Hedging'!$R$38</f>
        <v>-1.1865814872722835</v>
      </c>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343">
        <f>CK54*(1+BA55+'Risk Factors'!$J55)</f>
        <v>0.18417467989867006</v>
      </c>
      <c r="CL55" s="343">
        <f>CL54*(1+BB55+'Risk Factors'!$J55)</f>
        <v>0.78091678465067726</v>
      </c>
      <c r="CN55" s="343">
        <f t="shared" si="9"/>
        <v>0.19083650271911901</v>
      </c>
      <c r="CO55" s="343">
        <f t="shared" si="12"/>
        <v>0.80916349728088099</v>
      </c>
      <c r="CP55" s="418">
        <f t="shared" si="10"/>
        <v>0.96509146454934736</v>
      </c>
      <c r="CQ55" s="343">
        <f t="shared" si="13"/>
        <v>-3.1320334262070815E-2</v>
      </c>
      <c r="CS55" s="92"/>
      <c r="CT55" s="260"/>
      <c r="CU55" s="260"/>
      <c r="CV55" s="260"/>
      <c r="CW55" s="260"/>
      <c r="CX55" s="260"/>
      <c r="CY55" s="260"/>
      <c r="CZ55" s="260"/>
      <c r="DB55" s="325"/>
      <c r="DC55" s="92"/>
      <c r="DD55" s="92"/>
      <c r="DE55" s="260"/>
      <c r="DF55" s="260"/>
      <c r="DG55" s="260"/>
      <c r="DH55" s="260"/>
      <c r="DI55" s="260"/>
    </row>
    <row r="56" spans="6:113">
      <c r="F56" s="421">
        <v>41851</v>
      </c>
      <c r="G56" s="92">
        <f>IF(Portfolios!$G$16="yes",SUM(T56:X56),AX56)</f>
        <v>-2.5363103253766894E-2</v>
      </c>
      <c r="H56" s="138" t="e">
        <f>IF(IF(Portfolios!$J$10="no",'AC3'!Y56,'AC3'!AE56)=0,NA(),IF(Portfolios!$J$10="no",Y56,AE56))</f>
        <v>#N/A</v>
      </c>
      <c r="I56" s="138" t="e">
        <f>IF(Portfolios!$J$11="no",NA(),IF(IF(Portfolios!$J$10="no",'AC3'!Z56,'AC3'!AF56)=0,NA(),IF(Portfolios!$J$10="no",Z56,AF56)))</f>
        <v>#N/A</v>
      </c>
      <c r="J56" s="138" t="e">
        <f>IF(Portfolios!$J$11="no",NA(),IF(IF(Portfolios!$J$10="no",'AC3'!AA56,'AC3'!AG56)=0,NA(),IF(Portfolios!$J$10="no",AA56,AG56)))</f>
        <v>#N/A</v>
      </c>
      <c r="K56" s="138" t="e">
        <f>IF(Portfolios!$J$11="no",NA(),IF(IF(Portfolios!$J$10="no",'AC3'!AB56,'AC3'!AH56)=0,NA(),IF(Portfolios!$J$10="no",AB56,AH56)))</f>
        <v>#N/A</v>
      </c>
      <c r="L56" s="138" t="e">
        <f>IF(Portfolios!$J$11="no",NA(),IF(IF(Portfolios!$J$10="no",'AC3'!AC56,'AC3'!AI56)=0,NA(),IF(Portfolios!$J$10="no",AC56,AI56)))</f>
        <v>#N/A</v>
      </c>
      <c r="M56" s="138" t="e">
        <f>IF(Portfolios!$J$11="no",NA(),IF(IF(Portfolios!$J$10="no",'AC3'!AD56,'AC3'!AJ56)=0,NA(),IF(Portfolios!$J$10="no",AD56,AJ56)))</f>
        <v>#N/A</v>
      </c>
      <c r="N56" s="92">
        <f>G56-'Risk Factors'!J56</f>
        <v>-2.5363103253766894E-2</v>
      </c>
      <c r="O56" s="260">
        <f>HLOOKUP(O$1,'Asset Returns'!$F$1:$N$109,ROW(),0)-'Risk Factors'!$J56</f>
        <v>-7.1850575506687164E-2</v>
      </c>
      <c r="P56" s="260">
        <f>HLOOKUP(P$1,'Asset Returns'!$F$1:$N$109,ROW(),0)-'Risk Factors'!$J56</f>
        <v>3.3863451331853867E-2</v>
      </c>
      <c r="Q56" s="260">
        <f>HLOOKUP(Q$1,'Asset Returns'!$F$1:$N$109,ROW(),0)-'Risk Factors'!$J56</f>
        <v>-0.10383489727973938</v>
      </c>
      <c r="R56" s="260">
        <f>HLOOKUP(R$1,'Asset Returns'!$F$1:$N$109,ROW(),0)-'Risk Factors'!$J56</f>
        <v>-6.2950537540018559E-3</v>
      </c>
      <c r="S56" s="260">
        <f>HLOOKUP(S$1,'Asset Returns'!$F$1:$N$109,ROW(),0)-'Risk Factors'!$J56</f>
        <v>5.7372972369194031E-2</v>
      </c>
      <c r="T56" s="260">
        <f>HLOOKUP(T$1,'Asset Returns'!$F$1:$N$109,ROW(),0)*Portfolios!$G$10</f>
        <v>-7.1850575506687171E-3</v>
      </c>
      <c r="U56" s="260">
        <f>HLOOKUP(U$1,'Asset Returns'!$F$1:$N$109,ROW(),0)*Portfolios!$G$11</f>
        <v>3.386345133185387E-3</v>
      </c>
      <c r="V56" s="260">
        <f>HLOOKUP(V$1,'Asset Returns'!$F$1:$N$109,ROW(),0)*Portfolios!$G$12</f>
        <v>-3.1150469183921812E-2</v>
      </c>
      <c r="W56" s="260">
        <f>HLOOKUP(W$1,'Asset Returns'!$F$1:$N$109,ROW(),0)*Portfolios!$G$13</f>
        <v>-1.8885161262005568E-3</v>
      </c>
      <c r="X56" s="260">
        <f>HLOOKUP(X$1,'Asset Returns'!$F$1:$N$109,ROW(),0)*Portfolios!$G$14</f>
        <v>1.1474594473838804E-2</v>
      </c>
      <c r="Y56" s="138">
        <f>Portfolios!$R$34</f>
        <v>-0.68211369708646341</v>
      </c>
      <c r="Z56" s="138">
        <f>Portfolios!$P$11</f>
        <v>0.9378377404978776</v>
      </c>
      <c r="AA56" s="138">
        <f>Portfolios!$P$12</f>
        <v>0.64097224418739052</v>
      </c>
      <c r="AB56" s="138">
        <f>Portfolios!$P$13</f>
        <v>-2.1312105104673718</v>
      </c>
      <c r="AC56" s="138">
        <f>Portfolios!$P$14</f>
        <v>-0.78557102570241866</v>
      </c>
      <c r="AD56" s="138">
        <f>Portfolios!$P$15</f>
        <v>0.17519882647973573</v>
      </c>
      <c r="AE56" s="183"/>
      <c r="AF56" s="183"/>
      <c r="AG56" s="183"/>
      <c r="AH56" s="183"/>
      <c r="AI56" s="183"/>
      <c r="AJ56" s="183"/>
      <c r="AL56" s="343">
        <f>AL55*(1+O56+'Risk Factors'!$J56)</f>
        <v>0.10014242908645703</v>
      </c>
      <c r="AM56" s="343">
        <f>AM55*(1+P56+'Risk Factors'!$J56)</f>
        <v>0.23107171755346997</v>
      </c>
      <c r="AN56" s="343">
        <f>AN55*(1+Q56+'Risk Factors'!$J56)</f>
        <v>0.22073938132152829</v>
      </c>
      <c r="AO56" s="343">
        <f>AO55*(1+R56+'Risk Factors'!$J56)</f>
        <v>0.46768528330343612</v>
      </c>
      <c r="AP56" s="343">
        <f>AP55*(1+S56+'Risk Factors'!$J56)</f>
        <v>0.31760792420205869</v>
      </c>
      <c r="AR56" s="343">
        <f t="shared" si="15"/>
        <v>7.4887024533650134E-2</v>
      </c>
      <c r="AS56" s="343">
        <f t="shared" si="16"/>
        <v>0.17279662116563896</v>
      </c>
      <c r="AT56" s="343">
        <f t="shared" si="17"/>
        <v>0.16507004688588664</v>
      </c>
      <c r="AU56" s="343">
        <f t="shared" si="18"/>
        <v>0.34973746497135866</v>
      </c>
      <c r="AV56" s="343">
        <f t="shared" si="19"/>
        <v>0.23750884244346571</v>
      </c>
      <c r="AW56" s="418">
        <f t="shared" si="20"/>
        <v>1.3372467354669499</v>
      </c>
      <c r="AX56" s="343">
        <f t="shared" si="11"/>
        <v>-8.5185188931012901E-3</v>
      </c>
      <c r="AZ56" s="421">
        <v>41851</v>
      </c>
      <c r="BA56" s="92">
        <f>HLOOKUP(BA$1,'AC4'!$F$1:$AC$109,ROW(),0)*'Management and Hedging'!$G$10</f>
        <v>-8.40108E-3</v>
      </c>
      <c r="BB56" s="92">
        <f>HLOOKUP(BB$1,'AC4'!$F$1:$AC$109,ROW(),0)*'Management and Hedging'!$G$11</f>
        <v>-8.3067917823791512E-2</v>
      </c>
      <c r="BC56" s="92">
        <f>IF('Management and Hedging'!$G$13="yes",BA56+BB56,CQ56)</f>
        <v>-9.1468997823791517E-2</v>
      </c>
      <c r="BD56" s="138" t="e">
        <f>IF(IF('Management and Hedging'!$J$10="no",BL56,BO56)=0,NA(),IF('Management and Hedging'!$J$10="no",BL56,BO56))</f>
        <v>#N/A</v>
      </c>
      <c r="BE56" s="138" t="e">
        <f>IF(IF('Management and Hedging'!$J$10="no",BM56,BP56)=0,NA(),IF('Management and Hedging'!$J$10="no",BM56,BP56))</f>
        <v>#N/A</v>
      </c>
      <c r="BF56" s="138" t="e">
        <f>IF(IF('Management and Hedging'!$J$10="no",BN56,BQ56)=0,NA(),IF('Management and Hedging'!$J$10="no",BN56,BQ56))</f>
        <v>#N/A</v>
      </c>
      <c r="BG56" s="92">
        <f>IF('Management and Hedging'!$G$13="yes",BH56+BI56,CQ56)</f>
        <v>-9.1468997823791517E-2</v>
      </c>
      <c r="BH56" s="92">
        <f>HLOOKUP(BH$1,'Asset Returns'!$F$1:$ZY$109,ROW(),0)*'Management and Hedging'!$G$10</f>
        <v>-8.40108E-3</v>
      </c>
      <c r="BI56" s="92">
        <f>HLOOKUP(BI$1,'Asset Returns'!$F$1:$ZY$109,ROW(),0)*'Management and Hedging'!$G$11</f>
        <v>-8.3067917823791512E-2</v>
      </c>
      <c r="BJ56" s="92">
        <f>HLOOKUP(BJ$1,'AC4'!$F$1:$AC$109,ROW(),0)</f>
        <v>-4.2005399999999998E-2</v>
      </c>
      <c r="BK56" s="92">
        <f>HLOOKUP(BK$1,'AC4'!$F$1:$AC$109,ROW(),0)</f>
        <v>-0.10383489727973938</v>
      </c>
      <c r="BL56" s="138">
        <f ca="1">'Management and Hedging'!$R$34</f>
        <v>2.5919346055080732</v>
      </c>
      <c r="BM56" s="138">
        <f ca="1">'Management and Hedging'!$R$36</f>
        <v>-2.1312105104673718</v>
      </c>
      <c r="BN56" s="138">
        <f>'Management and Hedging'!$R$38</f>
        <v>-1.1865814872722835</v>
      </c>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343">
        <f>CK55*(1+BA56+'Risk Factors'!$J56)</f>
        <v>0.18262741367886695</v>
      </c>
      <c r="CL56" s="343">
        <f>CL55*(1+BB56+'Risk Factors'!$J56)</f>
        <v>0.71604765335609533</v>
      </c>
      <c r="CN56" s="343">
        <f t="shared" si="9"/>
        <v>0.20321851621122361</v>
      </c>
      <c r="CO56" s="343">
        <f t="shared" si="12"/>
        <v>0.79678148378877645</v>
      </c>
      <c r="CP56" s="418">
        <f t="shared" si="10"/>
        <v>0.89867506703496225</v>
      </c>
      <c r="CQ56" s="343">
        <f t="shared" si="13"/>
        <v>-6.8818759624403536E-2</v>
      </c>
      <c r="CS56" s="92"/>
      <c r="CT56" s="260"/>
      <c r="CU56" s="260"/>
      <c r="CV56" s="260"/>
      <c r="CW56" s="260"/>
      <c r="CX56" s="260"/>
      <c r="CY56" s="260"/>
      <c r="CZ56" s="260"/>
      <c r="DB56" s="325"/>
      <c r="DC56" s="92"/>
      <c r="DD56" s="92"/>
      <c r="DE56" s="260"/>
      <c r="DF56" s="260"/>
      <c r="DG56" s="260"/>
      <c r="DH56" s="260"/>
      <c r="DI56" s="260"/>
    </row>
    <row r="57" spans="6:113">
      <c r="F57" s="421">
        <v>41882</v>
      </c>
      <c r="G57" s="92">
        <f>IF(Portfolios!$G$16="yes",SUM(T57:X57),AX57)</f>
        <v>-1.5024620294570924E-2</v>
      </c>
      <c r="H57" s="138" t="e">
        <f>IF(IF(Portfolios!$J$10="no",'AC3'!Y57,'AC3'!AE57)=0,NA(),IF(Portfolios!$J$10="no",Y57,AE57))</f>
        <v>#N/A</v>
      </c>
      <c r="I57" s="138" t="e">
        <f>IF(Portfolios!$J$11="no",NA(),IF(IF(Portfolios!$J$10="no",'AC3'!Z57,'AC3'!AF57)=0,NA(),IF(Portfolios!$J$10="no",Z57,AF57)))</f>
        <v>#N/A</v>
      </c>
      <c r="J57" s="138" t="e">
        <f>IF(Portfolios!$J$11="no",NA(),IF(IF(Portfolios!$J$10="no",'AC3'!AA57,'AC3'!AG57)=0,NA(),IF(Portfolios!$J$10="no",AA57,AG57)))</f>
        <v>#N/A</v>
      </c>
      <c r="K57" s="138" t="e">
        <f>IF(Portfolios!$J$11="no",NA(),IF(IF(Portfolios!$J$10="no",'AC3'!AB57,'AC3'!AH57)=0,NA(),IF(Portfolios!$J$10="no",AB57,AH57)))</f>
        <v>#N/A</v>
      </c>
      <c r="L57" s="138" t="e">
        <f>IF(Portfolios!$J$11="no",NA(),IF(IF(Portfolios!$J$10="no",'AC3'!AC57,'AC3'!AI57)=0,NA(),IF(Portfolios!$J$10="no",AC57,AI57)))</f>
        <v>#N/A</v>
      </c>
      <c r="M57" s="138" t="e">
        <f>IF(Portfolios!$J$11="no",NA(),IF(IF(Portfolios!$J$10="no",'AC3'!AD57,'AC3'!AJ57)=0,NA(),IF(Portfolios!$J$10="no",AD57,AJ57)))</f>
        <v>#N/A</v>
      </c>
      <c r="N57" s="92">
        <f>G57-'Risk Factors'!J57</f>
        <v>-1.5024620294570924E-2</v>
      </c>
      <c r="O57" s="260">
        <f>HLOOKUP(O$1,'Asset Returns'!$F$1:$N$109,ROW(),0)-'Risk Factors'!$J57</f>
        <v>-8.786344900727272E-3</v>
      </c>
      <c r="P57" s="260">
        <f>HLOOKUP(P$1,'Asset Returns'!$F$1:$N$109,ROW(),0)-'Risk Factors'!$J57</f>
        <v>0.1722152978181839</v>
      </c>
      <c r="Q57" s="260">
        <f>HLOOKUP(Q$1,'Asset Returns'!$F$1:$N$109,ROW(),0)-'Risk Factors'!$J57</f>
        <v>-6.6883303225040436E-2</v>
      </c>
      <c r="R57" s="260">
        <f>HLOOKUP(R$1,'Asset Returns'!$F$1:$N$109,ROW(),0)-'Risk Factors'!$J57</f>
        <v>-4.3822601437568665E-2</v>
      </c>
      <c r="S57" s="260">
        <f>HLOOKUP(S$1,'Asset Returns'!$F$1:$N$109,ROW(),0)-'Risk Factors'!$J57</f>
        <v>9.2212790623307228E-3</v>
      </c>
      <c r="T57" s="260">
        <f>HLOOKUP(T$1,'Asset Returns'!$F$1:$N$109,ROW(),0)*Portfolios!$G$10</f>
        <v>-8.7863449007272729E-4</v>
      </c>
      <c r="U57" s="260">
        <f>HLOOKUP(U$1,'Asset Returns'!$F$1:$N$109,ROW(),0)*Portfolios!$G$11</f>
        <v>1.7221529781818391E-2</v>
      </c>
      <c r="V57" s="260">
        <f>HLOOKUP(V$1,'Asset Returns'!$F$1:$N$109,ROW(),0)*Portfolios!$G$12</f>
        <v>-2.0064990967512131E-2</v>
      </c>
      <c r="W57" s="260">
        <f>HLOOKUP(W$1,'Asset Returns'!$F$1:$N$109,ROW(),0)*Portfolios!$G$13</f>
        <v>-1.3146780431270599E-2</v>
      </c>
      <c r="X57" s="260">
        <f>HLOOKUP(X$1,'Asset Returns'!$F$1:$N$109,ROW(),0)*Portfolios!$G$14</f>
        <v>1.8442558124661442E-3</v>
      </c>
      <c r="Y57" s="138">
        <f>Portfolios!$R$34</f>
        <v>-0.68211369708646341</v>
      </c>
      <c r="Z57" s="138">
        <f>Portfolios!$P$11</f>
        <v>0.9378377404978776</v>
      </c>
      <c r="AA57" s="138">
        <f>Portfolios!$P$12</f>
        <v>0.64097224418739052</v>
      </c>
      <c r="AB57" s="138">
        <f>Portfolios!$P$13</f>
        <v>-2.1312105104673718</v>
      </c>
      <c r="AC57" s="138">
        <f>Portfolios!$P$14</f>
        <v>-0.78557102570241866</v>
      </c>
      <c r="AD57" s="138">
        <f>Portfolios!$P$15</f>
        <v>0.17519882647973573</v>
      </c>
      <c r="AE57" s="183"/>
      <c r="AF57" s="183"/>
      <c r="AG57" s="183"/>
      <c r="AH57" s="183"/>
      <c r="AI57" s="183"/>
      <c r="AJ57" s="183"/>
      <c r="AL57" s="343">
        <f>AL56*(1+O57+'Risk Factors'!$J57)</f>
        <v>9.9262543165306791E-2</v>
      </c>
      <c r="AM57" s="343">
        <f>AM56*(1+P57+'Risk Factors'!$J57)</f>
        <v>0.27086580220930007</v>
      </c>
      <c r="AN57" s="343">
        <f>AN56*(1+Q57+'Risk Factors'!$J57)</f>
        <v>0.20597560234689269</v>
      </c>
      <c r="AO57" s="343">
        <f>AO56*(1+R57+'Risk Factors'!$J57)</f>
        <v>0.44719009753501326</v>
      </c>
      <c r="AP57" s="343">
        <f>AP56*(1+S57+'Risk Factors'!$J57)</f>
        <v>0.32053667550353343</v>
      </c>
      <c r="AR57" s="343">
        <f t="shared" si="15"/>
        <v>7.386536237924797E-2</v>
      </c>
      <c r="AS57" s="343">
        <f t="shared" si="16"/>
        <v>0.20156244237079451</v>
      </c>
      <c r="AT57" s="343">
        <f t="shared" si="17"/>
        <v>0.15327496176780112</v>
      </c>
      <c r="AU57" s="343">
        <f t="shared" si="18"/>
        <v>0.33277264065081852</v>
      </c>
      <c r="AV57" s="343">
        <f t="shared" si="19"/>
        <v>0.23852459283133795</v>
      </c>
      <c r="AW57" s="418">
        <f t="shared" si="20"/>
        <v>1.3438307207600462</v>
      </c>
      <c r="AX57" s="343">
        <f t="shared" si="11"/>
        <v>4.9235381313510462E-3</v>
      </c>
      <c r="AZ57" s="421">
        <v>41882</v>
      </c>
      <c r="BA57" s="92">
        <f>HLOOKUP(BA$1,'AC4'!$F$1:$AC$109,ROW(),0)*'Management and Hedging'!$G$10</f>
        <v>-2.2630800000000002E-3</v>
      </c>
      <c r="BB57" s="92">
        <f>HLOOKUP(BB$1,'AC4'!$F$1:$AC$109,ROW(),0)*'Management and Hedging'!$G$11</f>
        <v>-5.3506642580032349E-2</v>
      </c>
      <c r="BC57" s="92">
        <f>IF('Management and Hedging'!$G$13="yes",BA57+BB57,CQ57)</f>
        <v>-5.5769722580032349E-2</v>
      </c>
      <c r="BD57" s="138" t="e">
        <f>IF(IF('Management and Hedging'!$J$10="no",BL57,BO57)=0,NA(),IF('Management and Hedging'!$J$10="no",BL57,BO57))</f>
        <v>#N/A</v>
      </c>
      <c r="BE57" s="138" t="e">
        <f>IF(IF('Management and Hedging'!$J$10="no",BM57,BP57)=0,NA(),IF('Management and Hedging'!$J$10="no",BM57,BP57))</f>
        <v>#N/A</v>
      </c>
      <c r="BF57" s="138" t="e">
        <f>IF(IF('Management and Hedging'!$J$10="no",BN57,BQ57)=0,NA(),IF('Management and Hedging'!$J$10="no",BN57,BQ57))</f>
        <v>#N/A</v>
      </c>
      <c r="BG57" s="92">
        <f>IF('Management and Hedging'!$G$13="yes",BH57+BI57,CQ57)</f>
        <v>-5.5769722580032349E-2</v>
      </c>
      <c r="BH57" s="92">
        <f>HLOOKUP(BH$1,'Asset Returns'!$F$1:$ZY$109,ROW(),0)*'Management and Hedging'!$G$10</f>
        <v>-2.2630800000000002E-3</v>
      </c>
      <c r="BI57" s="92">
        <f>HLOOKUP(BI$1,'Asset Returns'!$F$1:$ZY$109,ROW(),0)*'Management and Hedging'!$G$11</f>
        <v>-5.3506642580032349E-2</v>
      </c>
      <c r="BJ57" s="92">
        <f>HLOOKUP(BJ$1,'AC4'!$F$1:$AC$109,ROW(),0)</f>
        <v>-1.13154E-2</v>
      </c>
      <c r="BK57" s="92">
        <f>HLOOKUP(BK$1,'AC4'!$F$1:$AC$109,ROW(),0)</f>
        <v>-6.6883303225040436E-2</v>
      </c>
      <c r="BL57" s="138">
        <f ca="1">'Management and Hedging'!$R$34</f>
        <v>2.5919346055080732</v>
      </c>
      <c r="BM57" s="138">
        <f ca="1">'Management and Hedging'!$R$36</f>
        <v>-2.1312105104673718</v>
      </c>
      <c r="BN57" s="138">
        <f>'Management and Hedging'!$R$38</f>
        <v>-1.1865814872722835</v>
      </c>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343">
        <f>CK56*(1+BA57+'Risk Factors'!$J57)</f>
        <v>0.18221411323151859</v>
      </c>
      <c r="CL57" s="343">
        <f>CL56*(1+BB57+'Risk Factors'!$J57)</f>
        <v>0.67773434749769979</v>
      </c>
      <c r="CN57" s="343">
        <f t="shared" si="9"/>
        <v>0.21188957426239802</v>
      </c>
      <c r="CO57" s="343">
        <f t="shared" si="12"/>
        <v>0.78811042573760193</v>
      </c>
      <c r="CP57" s="418">
        <f t="shared" si="10"/>
        <v>0.85994846072921838</v>
      </c>
      <c r="CQ57" s="343">
        <f t="shared" si="13"/>
        <v>-4.3093001827141153E-2</v>
      </c>
      <c r="CS57" s="92"/>
      <c r="CT57" s="260"/>
      <c r="CU57" s="260"/>
      <c r="CV57" s="260"/>
      <c r="CW57" s="260"/>
      <c r="CX57" s="260"/>
      <c r="CY57" s="260"/>
      <c r="CZ57" s="260"/>
      <c r="DB57" s="325"/>
      <c r="DC57" s="92"/>
      <c r="DD57" s="92"/>
      <c r="DE57" s="260"/>
      <c r="DF57" s="260"/>
      <c r="DG57" s="260"/>
      <c r="DH57" s="260"/>
      <c r="DI57" s="260"/>
    </row>
    <row r="58" spans="6:113">
      <c r="F58" s="421">
        <v>41912</v>
      </c>
      <c r="G58" s="92">
        <f>IF(Portfolios!$G$16="yes",SUM(T58:X58),AX58)</f>
        <v>-2.5301518104970454E-2</v>
      </c>
      <c r="H58" s="138" t="e">
        <f>IF(IF(Portfolios!$J$10="no",'AC3'!Y58,'AC3'!AE58)=0,NA(),IF(Portfolios!$J$10="no",Y58,AE58))</f>
        <v>#N/A</v>
      </c>
      <c r="I58" s="138" t="e">
        <f>IF(Portfolios!$J$11="no",NA(),IF(IF(Portfolios!$J$10="no",'AC3'!Z58,'AC3'!AF58)=0,NA(),IF(Portfolios!$J$10="no",Z58,AF58)))</f>
        <v>#N/A</v>
      </c>
      <c r="J58" s="138" t="e">
        <f>IF(Portfolios!$J$11="no",NA(),IF(IF(Portfolios!$J$10="no",'AC3'!AA58,'AC3'!AG58)=0,NA(),IF(Portfolios!$J$10="no",AA58,AG58)))</f>
        <v>#N/A</v>
      </c>
      <c r="K58" s="138" t="e">
        <f>IF(Portfolios!$J$11="no",NA(),IF(IF(Portfolios!$J$10="no",'AC3'!AB58,'AC3'!AH58)=0,NA(),IF(Portfolios!$J$10="no",AB58,AH58)))</f>
        <v>#N/A</v>
      </c>
      <c r="L58" s="138" t="e">
        <f>IF(Portfolios!$J$11="no",NA(),IF(IF(Portfolios!$J$10="no",'AC3'!AC58,'AC3'!AI58)=0,NA(),IF(Portfolios!$J$10="no",AC58,AI58)))</f>
        <v>#N/A</v>
      </c>
      <c r="M58" s="138" t="e">
        <f>IF(Portfolios!$J$11="no",NA(),IF(IF(Portfolios!$J$10="no",'AC3'!AD58,'AC3'!AJ58)=0,NA(),IF(Portfolios!$J$10="no",AD58,AJ58)))</f>
        <v>#N/A</v>
      </c>
      <c r="N58" s="92">
        <f>G58-'Risk Factors'!J58</f>
        <v>-2.5301518104970454E-2</v>
      </c>
      <c r="O58" s="260">
        <f>HLOOKUP(O$1,'Asset Returns'!$F$1:$N$109,ROW(),0)-'Risk Factors'!$J58</f>
        <v>-8.0999501049518585E-2</v>
      </c>
      <c r="P58" s="260">
        <f>HLOOKUP(P$1,'Asset Returns'!$F$1:$N$109,ROW(),0)-'Risk Factors'!$J58</f>
        <v>-6.0338854789733887E-2</v>
      </c>
      <c r="Q58" s="260">
        <f>HLOOKUP(Q$1,'Asset Returns'!$F$1:$N$109,ROW(),0)-'Risk Factors'!$J58</f>
        <v>-7.317158579826355E-2</v>
      </c>
      <c r="R58" s="260">
        <f>HLOOKUP(R$1,'Asset Returns'!$F$1:$N$109,ROW(),0)-'Risk Factors'!$J58</f>
        <v>4.4508989900350571E-2</v>
      </c>
      <c r="S58" s="260">
        <f>HLOOKUP(S$1,'Asset Returns'!$F$1:$N$109,ROW(),0)-'Risk Factors'!$J58</f>
        <v>-1.2844518758356571E-2</v>
      </c>
      <c r="T58" s="260">
        <f>HLOOKUP(T$1,'Asset Returns'!$F$1:$N$109,ROW(),0)*Portfolios!$G$10</f>
        <v>-8.0999501049518596E-3</v>
      </c>
      <c r="U58" s="260">
        <f>HLOOKUP(U$1,'Asset Returns'!$F$1:$N$109,ROW(),0)*Portfolios!$G$11</f>
        <v>-6.0338854789733888E-3</v>
      </c>
      <c r="V58" s="260">
        <f>HLOOKUP(V$1,'Asset Returns'!$F$1:$N$109,ROW(),0)*Portfolios!$G$12</f>
        <v>-2.1951475739479063E-2</v>
      </c>
      <c r="W58" s="260">
        <f>HLOOKUP(W$1,'Asset Returns'!$F$1:$N$109,ROW(),0)*Portfolios!$G$13</f>
        <v>1.3352696970105171E-2</v>
      </c>
      <c r="X58" s="260">
        <f>HLOOKUP(X$1,'Asset Returns'!$F$1:$N$109,ROW(),0)*Portfolios!$G$14</f>
        <v>-2.5689037516713137E-3</v>
      </c>
      <c r="Y58" s="138">
        <f>Portfolios!$R$34</f>
        <v>-0.68211369708646341</v>
      </c>
      <c r="Z58" s="138">
        <f>Portfolios!$P$11</f>
        <v>0.9378377404978776</v>
      </c>
      <c r="AA58" s="138">
        <f>Portfolios!$P$12</f>
        <v>0.64097224418739052</v>
      </c>
      <c r="AB58" s="138">
        <f>Portfolios!$P$13</f>
        <v>-2.1312105104673718</v>
      </c>
      <c r="AC58" s="138">
        <f>Portfolios!$P$14</f>
        <v>-0.78557102570241866</v>
      </c>
      <c r="AD58" s="138">
        <f>Portfolios!$P$15</f>
        <v>0.17519882647973573</v>
      </c>
      <c r="AE58" s="183"/>
      <c r="AF58" s="183"/>
      <c r="AG58" s="183"/>
      <c r="AH58" s="183"/>
      <c r="AI58" s="183"/>
      <c r="AJ58" s="183"/>
      <c r="AL58" s="343">
        <f>AL57*(1+O58+'Risk Factors'!$J58)</f>
        <v>9.1222326696010644E-2</v>
      </c>
      <c r="AM58" s="343">
        <f>AM57*(1+P58+'Risk Factors'!$J58)</f>
        <v>0.25452206990228832</v>
      </c>
      <c r="AN58" s="343">
        <f>AN57*(1+Q58+'Risk Factors'!$J58)</f>
        <v>0.19090404088741803</v>
      </c>
      <c r="AO58" s="343">
        <f>AO57*(1+R58+'Risk Factors'!$J58)</f>
        <v>0.46709407706973594</v>
      </c>
      <c r="AP58" s="343">
        <f>AP57*(1+S58+'Risk Factors'!$J58)</f>
        <v>0.31641953616228702</v>
      </c>
      <c r="AR58" s="343">
        <f t="shared" si="15"/>
        <v>6.9099340226008846E-2</v>
      </c>
      <c r="AS58" s="343">
        <f t="shared" si="16"/>
        <v>0.1927960811810269</v>
      </c>
      <c r="AT58" s="343">
        <f t="shared" si="17"/>
        <v>0.14460652067950913</v>
      </c>
      <c r="AU58" s="343">
        <f t="shared" si="18"/>
        <v>0.35381571286327185</v>
      </c>
      <c r="AV58" s="343">
        <f t="shared" si="19"/>
        <v>0.23968234505018338</v>
      </c>
      <c r="AW58" s="418">
        <f t="shared" si="20"/>
        <v>1.3201620507177398</v>
      </c>
      <c r="AX58" s="343">
        <f t="shared" si="11"/>
        <v>-1.7612835959665896E-2</v>
      </c>
      <c r="AZ58" s="421">
        <v>41912</v>
      </c>
      <c r="BA58" s="92">
        <f>HLOOKUP(BA$1,'AC4'!$F$1:$AC$109,ROW(),0)*'Management and Hedging'!$G$10</f>
        <v>-3.4907020000000004E-2</v>
      </c>
      <c r="BB58" s="92">
        <f>HLOOKUP(BB$1,'AC4'!$F$1:$AC$109,ROW(),0)*'Management and Hedging'!$G$11</f>
        <v>-5.8537268638610841E-2</v>
      </c>
      <c r="BC58" s="92">
        <f>IF('Management and Hedging'!$G$13="yes",BA58+BB58,CQ58)</f>
        <v>-9.3444288638610845E-2</v>
      </c>
      <c r="BD58" s="138" t="e">
        <f>IF(IF('Management and Hedging'!$J$10="no",BL58,BO58)=0,NA(),IF('Management and Hedging'!$J$10="no",BL58,BO58))</f>
        <v>#N/A</v>
      </c>
      <c r="BE58" s="138" t="e">
        <f>IF(IF('Management and Hedging'!$J$10="no",BM58,BP58)=0,NA(),IF('Management and Hedging'!$J$10="no",BM58,BP58))</f>
        <v>#N/A</v>
      </c>
      <c r="BF58" s="138" t="e">
        <f>IF(IF('Management and Hedging'!$J$10="no",BN58,BQ58)=0,NA(),IF('Management and Hedging'!$J$10="no",BN58,BQ58))</f>
        <v>#N/A</v>
      </c>
      <c r="BG58" s="92">
        <f>IF('Management and Hedging'!$G$13="yes",BH58+BI58,CQ58)</f>
        <v>-9.3444288638610845E-2</v>
      </c>
      <c r="BH58" s="92">
        <f>HLOOKUP(BH$1,'Asset Returns'!$F$1:$ZY$109,ROW(),0)*'Management and Hedging'!$G$10</f>
        <v>-3.4907020000000004E-2</v>
      </c>
      <c r="BI58" s="92">
        <f>HLOOKUP(BI$1,'Asset Returns'!$F$1:$ZY$109,ROW(),0)*'Management and Hedging'!$G$11</f>
        <v>-5.8537268638610841E-2</v>
      </c>
      <c r="BJ58" s="92">
        <f>HLOOKUP(BJ$1,'AC4'!$F$1:$AC$109,ROW(),0)</f>
        <v>-0.17453510000000003</v>
      </c>
      <c r="BK58" s="92">
        <f>HLOOKUP(BK$1,'AC4'!$F$1:$AC$109,ROW(),0)</f>
        <v>-7.317158579826355E-2</v>
      </c>
      <c r="BL58" s="138">
        <f ca="1">'Management and Hedging'!$R$34</f>
        <v>2.5919346055080732</v>
      </c>
      <c r="BM58" s="138">
        <f ca="1">'Management and Hedging'!$R$36</f>
        <v>-2.1312105104673718</v>
      </c>
      <c r="BN58" s="138">
        <f>'Management and Hedging'!$R$38</f>
        <v>-1.1865814872722835</v>
      </c>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343">
        <f>CK57*(1+BA58+'Risk Factors'!$J58)</f>
        <v>0.17585356153666371</v>
      </c>
      <c r="CL58" s="343">
        <f>CL57*(1+BB58+'Risk Factors'!$J58)</f>
        <v>0.63806162993261328</v>
      </c>
      <c r="CN58" s="343">
        <f t="shared" si="9"/>
        <v>0.21605882698812076</v>
      </c>
      <c r="CO58" s="343">
        <f t="shared" si="12"/>
        <v>0.78394117301187916</v>
      </c>
      <c r="CP58" s="418">
        <f t="shared" si="10"/>
        <v>0.81391519146927704</v>
      </c>
      <c r="CQ58" s="343">
        <f t="shared" si="13"/>
        <v>-5.3530265314860936E-2</v>
      </c>
      <c r="CS58" s="92"/>
      <c r="CT58" s="260"/>
      <c r="CU58" s="260"/>
      <c r="CV58" s="260"/>
      <c r="CW58" s="260"/>
      <c r="CX58" s="260"/>
      <c r="CY58" s="260"/>
      <c r="CZ58" s="260"/>
      <c r="DB58" s="325"/>
      <c r="DC58" s="92"/>
      <c r="DD58" s="92"/>
      <c r="DE58" s="260"/>
      <c r="DF58" s="260"/>
      <c r="DG58" s="260"/>
      <c r="DH58" s="260"/>
      <c r="DI58" s="260"/>
    </row>
    <row r="59" spans="6:113">
      <c r="F59" s="421">
        <v>41943</v>
      </c>
      <c r="G59" s="92">
        <f>IF(Portfolios!$G$16="yes",SUM(T59:X59),AX59)</f>
        <v>-6.9841234572231764E-2</v>
      </c>
      <c r="H59" s="138" t="e">
        <f>IF(IF(Portfolios!$J$10="no",'AC3'!Y59,'AC3'!AE59)=0,NA(),IF(Portfolios!$J$10="no",Y59,AE59))</f>
        <v>#N/A</v>
      </c>
      <c r="I59" s="138" t="e">
        <f>IF(Portfolios!$J$11="no",NA(),IF(IF(Portfolios!$J$10="no",'AC3'!Z59,'AC3'!AF59)=0,NA(),IF(Portfolios!$J$10="no",Z59,AF59)))</f>
        <v>#N/A</v>
      </c>
      <c r="J59" s="138" t="e">
        <f>IF(Portfolios!$J$11="no",NA(),IF(IF(Portfolios!$J$10="no",'AC3'!AA59,'AC3'!AG59)=0,NA(),IF(Portfolios!$J$10="no",AA59,AG59)))</f>
        <v>#N/A</v>
      </c>
      <c r="K59" s="138" t="e">
        <f>IF(Portfolios!$J$11="no",NA(),IF(IF(Portfolios!$J$10="no",'AC3'!AB59,'AC3'!AH59)=0,NA(),IF(Portfolios!$J$10="no",AB59,AH59)))</f>
        <v>#N/A</v>
      </c>
      <c r="L59" s="138" t="e">
        <f>IF(Portfolios!$J$11="no",NA(),IF(IF(Portfolios!$J$10="no",'AC3'!AC59,'AC3'!AI59)=0,NA(),IF(Portfolios!$J$10="no",AC59,AI59)))</f>
        <v>#N/A</v>
      </c>
      <c r="M59" s="138" t="e">
        <f>IF(Portfolios!$J$11="no",NA(),IF(IF(Portfolios!$J$10="no",'AC3'!AD59,'AC3'!AJ59)=0,NA(),IF(Portfolios!$J$10="no",AD59,AJ59)))</f>
        <v>#N/A</v>
      </c>
      <c r="N59" s="92">
        <f>G59-'Risk Factors'!J59</f>
        <v>-6.9841234572231764E-2</v>
      </c>
      <c r="O59" s="260">
        <f>HLOOKUP(O$1,'Asset Returns'!$F$1:$N$109,ROW(),0)-'Risk Factors'!$J59</f>
        <v>-2.2819487378001213E-2</v>
      </c>
      <c r="P59" s="260">
        <f>HLOOKUP(P$1,'Asset Returns'!$F$1:$N$109,ROW(),0)-'Risk Factors'!$J59</f>
        <v>7.3368139564990997E-2</v>
      </c>
      <c r="Q59" s="260">
        <f>HLOOKUP(Q$1,'Asset Returns'!$F$1:$N$109,ROW(),0)-'Risk Factors'!$J59</f>
        <v>-0.14414551854133606</v>
      </c>
      <c r="R59" s="260">
        <f>HLOOKUP(R$1,'Asset Returns'!$F$1:$N$109,ROW(),0)-'Risk Factors'!$J59</f>
        <v>-1.6200173646211624E-2</v>
      </c>
      <c r="S59" s="260">
        <f>HLOOKUP(S$1,'Asset Returns'!$F$1:$N$109,ROW(),0)-'Risk Factors'!$J59</f>
        <v>-0.13396196067333221</v>
      </c>
      <c r="T59" s="260">
        <f>HLOOKUP(T$1,'Asset Returns'!$F$1:$N$109,ROW(),0)*Portfolios!$G$10</f>
        <v>-2.2819487378001216E-3</v>
      </c>
      <c r="U59" s="260">
        <f>HLOOKUP(U$1,'Asset Returns'!$F$1:$N$109,ROW(),0)*Portfolios!$G$11</f>
        <v>7.3368139564990997E-3</v>
      </c>
      <c r="V59" s="260">
        <f>HLOOKUP(V$1,'Asset Returns'!$F$1:$N$109,ROW(),0)*Portfolios!$G$12</f>
        <v>-4.3243655562400819E-2</v>
      </c>
      <c r="W59" s="260">
        <f>HLOOKUP(W$1,'Asset Returns'!$F$1:$N$109,ROW(),0)*Portfolios!$G$13</f>
        <v>-4.8600520938634874E-3</v>
      </c>
      <c r="X59" s="260">
        <f>HLOOKUP(X$1,'Asset Returns'!$F$1:$N$109,ROW(),0)*Portfolios!$G$14</f>
        <v>-2.6792392134666436E-2</v>
      </c>
      <c r="Y59" s="138">
        <f>Portfolios!$R$34</f>
        <v>-0.68211369708646341</v>
      </c>
      <c r="Z59" s="138">
        <f>Portfolios!$P$11</f>
        <v>0.9378377404978776</v>
      </c>
      <c r="AA59" s="138">
        <f>Portfolios!$P$12</f>
        <v>0.64097224418739052</v>
      </c>
      <c r="AB59" s="138">
        <f>Portfolios!$P$13</f>
        <v>-2.1312105104673718</v>
      </c>
      <c r="AC59" s="138">
        <f>Portfolios!$P$14</f>
        <v>-0.78557102570241866</v>
      </c>
      <c r="AD59" s="138">
        <f>Portfolios!$P$15</f>
        <v>0.17519882647973573</v>
      </c>
      <c r="AE59" s="183"/>
      <c r="AF59" s="183"/>
      <c r="AG59" s="183"/>
      <c r="AH59" s="183"/>
      <c r="AI59" s="183"/>
      <c r="AJ59" s="183"/>
      <c r="AL59" s="343">
        <f>AL58*(1+O59+'Risk Factors'!$J59)</f>
        <v>8.9140679963379127E-2</v>
      </c>
      <c r="AM59" s="343">
        <f>AM58*(1+P59+'Risk Factors'!$J59)</f>
        <v>0.27319588064924982</v>
      </c>
      <c r="AN59" s="343">
        <f>AN58*(1+Q59+'Risk Factors'!$J59)</f>
        <v>0.16338607892206472</v>
      </c>
      <c r="AO59" s="343">
        <f>AO58*(1+R59+'Risk Factors'!$J59)</f>
        <v>0.45952707191208925</v>
      </c>
      <c r="AP59" s="343">
        <f>AP58*(1+S59+'Risk Factors'!$J59)</f>
        <v>0.27403135470264073</v>
      </c>
      <c r="AR59" s="343">
        <f t="shared" si="15"/>
        <v>7.0786961195207776E-2</v>
      </c>
      <c r="AS59" s="343">
        <f t="shared" si="16"/>
        <v>0.21694591302370378</v>
      </c>
      <c r="AT59" s="343">
        <f t="shared" si="17"/>
        <v>0.12974552172189785</v>
      </c>
      <c r="AU59" s="343">
        <f t="shared" si="18"/>
        <v>0.36491223783520521</v>
      </c>
      <c r="AV59" s="343">
        <f t="shared" si="19"/>
        <v>0.21760936622398541</v>
      </c>
      <c r="AW59" s="418">
        <f t="shared" si="20"/>
        <v>1.2592810661494236</v>
      </c>
      <c r="AX59" s="343">
        <f t="shared" si="11"/>
        <v>-4.611629650709681E-2</v>
      </c>
      <c r="AZ59" s="421">
        <v>41943</v>
      </c>
      <c r="BA59" s="92">
        <f>HLOOKUP(BA$1,'AC4'!$F$1:$AC$109,ROW(),0)*'Management and Hedging'!$G$10</f>
        <v>-3.5701900000000002E-2</v>
      </c>
      <c r="BB59" s="92">
        <f>HLOOKUP(BB$1,'AC4'!$F$1:$AC$109,ROW(),0)*'Management and Hedging'!$G$11</f>
        <v>-0.11531641483306886</v>
      </c>
      <c r="BC59" s="92">
        <f>IF('Management and Hedging'!$G$13="yes",BA59+BB59,CQ59)</f>
        <v>-0.15101831483306885</v>
      </c>
      <c r="BD59" s="138" t="e">
        <f>IF(IF('Management and Hedging'!$J$10="no",BL59,BO59)=0,NA(),IF('Management and Hedging'!$J$10="no",BL59,BO59))</f>
        <v>#N/A</v>
      </c>
      <c r="BE59" s="138" t="e">
        <f>IF(IF('Management and Hedging'!$J$10="no",BM59,BP59)=0,NA(),IF('Management and Hedging'!$J$10="no",BM59,BP59))</f>
        <v>#N/A</v>
      </c>
      <c r="BF59" s="138" t="e">
        <f>IF(IF('Management and Hedging'!$J$10="no",BN59,BQ59)=0,NA(),IF('Management and Hedging'!$J$10="no",BN59,BQ59))</f>
        <v>#N/A</v>
      </c>
      <c r="BG59" s="92">
        <f>IF('Management and Hedging'!$G$13="yes",BH59+BI59,CQ59)</f>
        <v>-0.15101831483306885</v>
      </c>
      <c r="BH59" s="92">
        <f>HLOOKUP(BH$1,'Asset Returns'!$F$1:$ZY$109,ROW(),0)*'Management and Hedging'!$G$10</f>
        <v>-3.5701900000000002E-2</v>
      </c>
      <c r="BI59" s="92">
        <f>HLOOKUP(BI$1,'Asset Returns'!$F$1:$ZY$109,ROW(),0)*'Management and Hedging'!$G$11</f>
        <v>-0.11531641483306886</v>
      </c>
      <c r="BJ59" s="92">
        <f>HLOOKUP(BJ$1,'AC4'!$F$1:$AC$109,ROW(),0)</f>
        <v>-0.17850950000000002</v>
      </c>
      <c r="BK59" s="92">
        <f>HLOOKUP(BK$1,'AC4'!$F$1:$AC$109,ROW(),0)</f>
        <v>-0.14414551854133606</v>
      </c>
      <c r="BL59" s="138">
        <f ca="1">'Management and Hedging'!$R$34</f>
        <v>2.5919346055080732</v>
      </c>
      <c r="BM59" s="138">
        <f ca="1">'Management and Hedging'!$R$36</f>
        <v>-2.1312105104673718</v>
      </c>
      <c r="BN59" s="138">
        <f>'Management and Hedging'!$R$38</f>
        <v>-1.1865814872722835</v>
      </c>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343">
        <f>CK58*(1+BA59+'Risk Factors'!$J59)</f>
        <v>0.16957525526803791</v>
      </c>
      <c r="CL59" s="343">
        <f>CL58*(1+BB59+'Risk Factors'!$J59)</f>
        <v>0.56448265032624001</v>
      </c>
      <c r="CN59" s="343">
        <f t="shared" si="9"/>
        <v>0.2310107335888622</v>
      </c>
      <c r="CO59" s="343">
        <f t="shared" si="12"/>
        <v>0.76898926641113774</v>
      </c>
      <c r="CP59" s="418">
        <f t="shared" si="10"/>
        <v>0.73405790559427797</v>
      </c>
      <c r="CQ59" s="343">
        <f t="shared" si="13"/>
        <v>-9.8114996147007583E-2</v>
      </c>
      <c r="CS59" s="92"/>
      <c r="CT59" s="260"/>
      <c r="CU59" s="260"/>
      <c r="CV59" s="260"/>
      <c r="CW59" s="260"/>
      <c r="CX59" s="260"/>
      <c r="CY59" s="260"/>
      <c r="CZ59" s="260"/>
      <c r="DB59" s="325"/>
      <c r="DC59" s="92"/>
      <c r="DD59" s="92"/>
      <c r="DE59" s="260"/>
      <c r="DF59" s="260"/>
      <c r="DG59" s="260"/>
      <c r="DH59" s="260"/>
      <c r="DI59" s="260"/>
    </row>
    <row r="60" spans="6:113">
      <c r="F60" s="421">
        <v>41973</v>
      </c>
      <c r="G60" s="92">
        <f>IF(Portfolios!$G$16="yes",SUM(T60:X60),AX60)</f>
        <v>4.0085973776876928E-2</v>
      </c>
      <c r="H60" s="138" t="e">
        <f>IF(IF(Portfolios!$J$10="no",'AC3'!Y60,'AC3'!AE60)=0,NA(),IF(Portfolios!$J$10="no",Y60,AE60))</f>
        <v>#N/A</v>
      </c>
      <c r="I60" s="138" t="e">
        <f>IF(Portfolios!$J$11="no",NA(),IF(IF(Portfolios!$J$10="no",'AC3'!Z60,'AC3'!AF60)=0,NA(),IF(Portfolios!$J$10="no",Z60,AF60)))</f>
        <v>#N/A</v>
      </c>
      <c r="J60" s="138" t="e">
        <f>IF(Portfolios!$J$11="no",NA(),IF(IF(Portfolios!$J$10="no",'AC3'!AA60,'AC3'!AG60)=0,NA(),IF(Portfolios!$J$10="no",AA60,AG60)))</f>
        <v>#N/A</v>
      </c>
      <c r="K60" s="138" t="e">
        <f>IF(Portfolios!$J$11="no",NA(),IF(IF(Portfolios!$J$10="no",'AC3'!AB60,'AC3'!AH60)=0,NA(),IF(Portfolios!$J$10="no",AB60,AH60)))</f>
        <v>#N/A</v>
      </c>
      <c r="L60" s="138" t="e">
        <f>IF(Portfolios!$J$11="no",NA(),IF(IF(Portfolios!$J$10="no",'AC3'!AC60,'AC3'!AI60)=0,NA(),IF(Portfolios!$J$10="no",AC60,AI60)))</f>
        <v>#N/A</v>
      </c>
      <c r="M60" s="138" t="e">
        <f>IF(Portfolios!$J$11="no",NA(),IF(IF(Portfolios!$J$10="no",'AC3'!AD60,'AC3'!AJ60)=0,NA(),IF(Portfolios!$J$10="no",AD60,AJ60)))</f>
        <v>#N/A</v>
      </c>
      <c r="N60" s="92">
        <f>G60-'Risk Factors'!J60</f>
        <v>4.0085973776876928E-2</v>
      </c>
      <c r="O60" s="260">
        <f>HLOOKUP(O$1,'Asset Returns'!$F$1:$N$109,ROW(),0)-'Risk Factors'!$J60</f>
        <v>-7.0511765778064728E-2</v>
      </c>
      <c r="P60" s="260">
        <f>HLOOKUP(P$1,'Asset Returns'!$F$1:$N$109,ROW(),0)-'Risk Factors'!$J60</f>
        <v>-1.4894863590598106E-2</v>
      </c>
      <c r="Q60" s="260">
        <f>HLOOKUP(Q$1,'Asset Returns'!$F$1:$N$109,ROW(),0)-'Risk Factors'!$J60</f>
        <v>0.10347867012023926</v>
      </c>
      <c r="R60" s="260">
        <f>HLOOKUP(R$1,'Asset Returns'!$F$1:$N$109,ROW(),0)-'Risk Factors'!$J60</f>
        <v>6.3172824680805206E-2</v>
      </c>
      <c r="S60" s="260">
        <f>HLOOKUP(S$1,'Asset Returns'!$F$1:$N$109,ROW(),0)-'Risk Factors'!$J60</f>
        <v>-6.844058632850647E-3</v>
      </c>
      <c r="T60" s="260">
        <f>HLOOKUP(T$1,'Asset Returns'!$F$1:$N$109,ROW(),0)*Portfolios!$G$10</f>
        <v>-7.051176577806473E-3</v>
      </c>
      <c r="U60" s="260">
        <f>HLOOKUP(U$1,'Asset Returns'!$F$1:$N$109,ROW(),0)*Portfolios!$G$11</f>
        <v>-1.4894863590598107E-3</v>
      </c>
      <c r="V60" s="260">
        <f>HLOOKUP(V$1,'Asset Returns'!$F$1:$N$109,ROW(),0)*Portfolios!$G$12</f>
        <v>3.1043601036071775E-2</v>
      </c>
      <c r="W60" s="260">
        <f>HLOOKUP(W$1,'Asset Returns'!$F$1:$N$109,ROW(),0)*Portfolios!$G$13</f>
        <v>1.8951847404241561E-2</v>
      </c>
      <c r="X60" s="260">
        <f>HLOOKUP(X$1,'Asset Returns'!$F$1:$N$109,ROW(),0)*Portfolios!$G$14</f>
        <v>-1.3688117265701291E-3</v>
      </c>
      <c r="Y60" s="138">
        <f>Portfolios!$R$34</f>
        <v>-0.68211369708646341</v>
      </c>
      <c r="Z60" s="138">
        <f>Portfolios!$P$11</f>
        <v>0.9378377404978776</v>
      </c>
      <c r="AA60" s="138">
        <f>Portfolios!$P$12</f>
        <v>0.64097224418739052</v>
      </c>
      <c r="AB60" s="138">
        <f>Portfolios!$P$13</f>
        <v>-2.1312105104673718</v>
      </c>
      <c r="AC60" s="138">
        <f>Portfolios!$P$14</f>
        <v>-0.78557102570241866</v>
      </c>
      <c r="AD60" s="138">
        <f>Portfolios!$P$15</f>
        <v>0.17519882647973573</v>
      </c>
      <c r="AE60" s="183"/>
      <c r="AF60" s="183"/>
      <c r="AG60" s="183"/>
      <c r="AH60" s="183"/>
      <c r="AI60" s="183"/>
      <c r="AJ60" s="183"/>
      <c r="AL60" s="343">
        <f>AL59*(1+O60+'Risk Factors'!$J60)</f>
        <v>8.2855213216503909E-2</v>
      </c>
      <c r="AM60" s="343">
        <f>AM59*(1+P60+'Risk Factors'!$J60)</f>
        <v>0.2691266652734659</v>
      </c>
      <c r="AN60" s="343">
        <f>AN59*(1+Q60+'Risk Factors'!$J60)</f>
        <v>0.18029305308508042</v>
      </c>
      <c r="AO60" s="343">
        <f>AO59*(1+R60+'Risk Factors'!$J60)</f>
        <v>0.48855669506207544</v>
      </c>
      <c r="AP60" s="343">
        <f>AP59*(1+S60+'Risk Factors'!$J60)</f>
        <v>0.27215586804381636</v>
      </c>
      <c r="AR60" s="343">
        <f t="shared" si="15"/>
        <v>6.4080444364196493E-2</v>
      </c>
      <c r="AS60" s="343">
        <f t="shared" si="16"/>
        <v>0.2081432855155925</v>
      </c>
      <c r="AT60" s="343">
        <f t="shared" si="17"/>
        <v>0.13943913133480818</v>
      </c>
      <c r="AU60" s="343">
        <f t="shared" si="18"/>
        <v>0.37785105971394711</v>
      </c>
      <c r="AV60" s="343">
        <f t="shared" si="19"/>
        <v>0.21048607907145586</v>
      </c>
      <c r="AW60" s="418">
        <f t="shared" si="20"/>
        <v>1.2929874946809419</v>
      </c>
      <c r="AX60" s="343">
        <f t="shared" si="11"/>
        <v>2.6766406196024439E-2</v>
      </c>
      <c r="AZ60" s="421">
        <v>41973</v>
      </c>
      <c r="BA60" s="92">
        <f>HLOOKUP(BA$1,'AC4'!$F$1:$AC$109,ROW(),0)*'Management and Hedging'!$G$10</f>
        <v>8.4387999999999998E-4</v>
      </c>
      <c r="BB60" s="92">
        <f>HLOOKUP(BB$1,'AC4'!$F$1:$AC$109,ROW(),0)*'Management and Hedging'!$G$11</f>
        <v>8.2782936096191417E-2</v>
      </c>
      <c r="BC60" s="92">
        <f>IF('Management and Hedging'!$G$13="yes",BA60+BB60,CQ60)</f>
        <v>8.3626816096191423E-2</v>
      </c>
      <c r="BD60" s="138" t="e">
        <f>IF(IF('Management and Hedging'!$J$10="no",BL60,BO60)=0,NA(),IF('Management and Hedging'!$J$10="no",BL60,BO60))</f>
        <v>#N/A</v>
      </c>
      <c r="BE60" s="138" t="e">
        <f>IF(IF('Management and Hedging'!$J$10="no",BM60,BP60)=0,NA(),IF('Management and Hedging'!$J$10="no",BM60,BP60))</f>
        <v>#N/A</v>
      </c>
      <c r="BF60" s="138" t="e">
        <f>IF(IF('Management and Hedging'!$J$10="no",BN60,BQ60)=0,NA(),IF('Management and Hedging'!$J$10="no",BN60,BQ60))</f>
        <v>#N/A</v>
      </c>
      <c r="BG60" s="92">
        <f>IF('Management and Hedging'!$G$13="yes",BH60+BI60,CQ60)</f>
        <v>8.3626816096191423E-2</v>
      </c>
      <c r="BH60" s="92">
        <f>HLOOKUP(BH$1,'Asset Returns'!$F$1:$ZY$109,ROW(),0)*'Management and Hedging'!$G$10</f>
        <v>8.4387999999999998E-4</v>
      </c>
      <c r="BI60" s="92">
        <f>HLOOKUP(BI$1,'Asset Returns'!$F$1:$ZY$109,ROW(),0)*'Management and Hedging'!$G$11</f>
        <v>8.2782936096191417E-2</v>
      </c>
      <c r="BJ60" s="92">
        <f>HLOOKUP(BJ$1,'AC4'!$F$1:$AC$109,ROW(),0)</f>
        <v>4.2193999999999999E-3</v>
      </c>
      <c r="BK60" s="92">
        <f>HLOOKUP(BK$1,'AC4'!$F$1:$AC$109,ROW(),0)</f>
        <v>0.10347867012023926</v>
      </c>
      <c r="BL60" s="138">
        <f ca="1">'Management and Hedging'!$R$34</f>
        <v>2.5919346055080732</v>
      </c>
      <c r="BM60" s="138">
        <f ca="1">'Management and Hedging'!$R$36</f>
        <v>-2.1312105104673718</v>
      </c>
      <c r="BN60" s="138">
        <f>'Management and Hedging'!$R$38</f>
        <v>-1.1865814872722835</v>
      </c>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343">
        <f>CK59*(1+BA60+'Risk Factors'!$J60)</f>
        <v>0.16971835643445349</v>
      </c>
      <c r="CL60" s="343">
        <f>CL59*(1+BB60+'Risk Factors'!$J60)</f>
        <v>0.61121218149560586</v>
      </c>
      <c r="CN60" s="343">
        <f t="shared" si="9"/>
        <v>0.21732836429256605</v>
      </c>
      <c r="CO60" s="343">
        <f t="shared" si="12"/>
        <v>0.78267163570743403</v>
      </c>
      <c r="CP60" s="418">
        <f t="shared" si="10"/>
        <v>0.78093053793005929</v>
      </c>
      <c r="CQ60" s="343">
        <f t="shared" si="13"/>
        <v>6.3854134637831184E-2</v>
      </c>
      <c r="CS60" s="92"/>
      <c r="CT60" s="260"/>
      <c r="CU60" s="260"/>
      <c r="CV60" s="260"/>
      <c r="CW60" s="260"/>
      <c r="CX60" s="260"/>
      <c r="CY60" s="260"/>
      <c r="CZ60" s="260"/>
      <c r="DB60" s="325"/>
      <c r="DC60" s="92"/>
      <c r="DD60" s="92"/>
      <c r="DE60" s="260"/>
      <c r="DF60" s="260"/>
      <c r="DG60" s="260"/>
      <c r="DH60" s="260"/>
      <c r="DI60" s="260"/>
    </row>
    <row r="61" spans="6:113">
      <c r="F61" s="422">
        <v>42004</v>
      </c>
      <c r="G61" s="92">
        <f>IF(Portfolios!$G$16="yes",SUM(T61:X61),AX61)</f>
        <v>-7.5194515520706773E-3</v>
      </c>
      <c r="H61" s="138" t="e">
        <f>IF(IF(Portfolios!$J$10="no",'AC3'!Y61,'AC3'!AE61)=0,NA(),IF(Portfolios!$J$10="no",Y61,AE61))</f>
        <v>#N/A</v>
      </c>
      <c r="I61" s="138" t="e">
        <f>IF(Portfolios!$J$11="no",NA(),IF(IF(Portfolios!$J$10="no",'AC3'!Z61,'AC3'!AF61)=0,NA(),IF(Portfolios!$J$10="no",Z61,AF61)))</f>
        <v>#N/A</v>
      </c>
      <c r="J61" s="138" t="e">
        <f>IF(Portfolios!$J$11="no",NA(),IF(IF(Portfolios!$J$10="no",'AC3'!AA61,'AC3'!AG61)=0,NA(),IF(Portfolios!$J$10="no",AA61,AG61)))</f>
        <v>#N/A</v>
      </c>
      <c r="K61" s="138" t="e">
        <f>IF(Portfolios!$J$11="no",NA(),IF(IF(Portfolios!$J$10="no",'AC3'!AB61,'AC3'!AH61)=0,NA(),IF(Portfolios!$J$10="no",AB61,AH61)))</f>
        <v>#N/A</v>
      </c>
      <c r="L61" s="138" t="e">
        <f>IF(Portfolios!$J$11="no",NA(),IF(IF(Portfolios!$J$10="no",'AC3'!AC61,'AC3'!AI61)=0,NA(),IF(Portfolios!$J$10="no",AC61,AI61)))</f>
        <v>#N/A</v>
      </c>
      <c r="M61" s="138" t="e">
        <f>IF(Portfolios!$J$11="no",NA(),IF(IF(Portfolios!$J$10="no",'AC3'!AD61,'AC3'!AJ61)=0,NA(),IF(Portfolios!$J$10="no",AD61,AJ61)))</f>
        <v>#N/A</v>
      </c>
      <c r="N61" s="92">
        <f>G61-'Risk Factors'!J61</f>
        <v>-7.5194515520706773E-3</v>
      </c>
      <c r="O61" s="260">
        <f>HLOOKUP(O$1,'Asset Returns'!$F$1:$N$109,ROW(),0)-'Risk Factors'!$J61</f>
        <v>-2.6134183630347252E-2</v>
      </c>
      <c r="P61" s="260">
        <f>HLOOKUP(P$1,'Asset Returns'!$F$1:$N$109,ROW(),0)-'Risk Factors'!$J61</f>
        <v>-8.6842276155948639E-2</v>
      </c>
      <c r="Q61" s="260">
        <f>HLOOKUP(Q$1,'Asset Returns'!$F$1:$N$109,ROW(),0)-'Risk Factors'!$J61</f>
        <v>-3.2266385387629271E-3</v>
      </c>
      <c r="R61" s="260">
        <f>HLOOKUP(R$1,'Asset Returns'!$F$1:$N$109,ROW(),0)-'Risk Factors'!$J61</f>
        <v>2.2932499647140503E-2</v>
      </c>
      <c r="S61" s="260">
        <f>HLOOKUP(S$1,'Asset Returns'!$F$1:$N$109,ROW(),0)-'Risk Factors'!$J61</f>
        <v>-1.0667819529771805E-2</v>
      </c>
      <c r="T61" s="260">
        <f>HLOOKUP(T$1,'Asset Returns'!$F$1:$N$109,ROW(),0)*Portfolios!$G$10</f>
        <v>-2.6134183630347253E-3</v>
      </c>
      <c r="U61" s="260">
        <f>HLOOKUP(U$1,'Asset Returns'!$F$1:$N$109,ROW(),0)*Portfolios!$G$11</f>
        <v>-8.6842276155948642E-3</v>
      </c>
      <c r="V61" s="260">
        <f>HLOOKUP(V$1,'Asset Returns'!$F$1:$N$109,ROW(),0)*Portfolios!$G$12</f>
        <v>-9.6799156162887803E-4</v>
      </c>
      <c r="W61" s="260">
        <f>HLOOKUP(W$1,'Asset Returns'!$F$1:$N$109,ROW(),0)*Portfolios!$G$13</f>
        <v>6.8797498941421511E-3</v>
      </c>
      <c r="X61" s="260">
        <f>HLOOKUP(X$1,'Asset Returns'!$F$1:$N$109,ROW(),0)*Portfolios!$G$14</f>
        <v>-2.1335639059543604E-3</v>
      </c>
      <c r="Y61" s="138">
        <f>Portfolios!$R$34</f>
        <v>-0.68211369708646341</v>
      </c>
      <c r="Z61" s="138">
        <f>Portfolios!$P$11</f>
        <v>0.9378377404978776</v>
      </c>
      <c r="AA61" s="138">
        <f>Portfolios!$P$12</f>
        <v>0.64097224418739052</v>
      </c>
      <c r="AB61" s="138">
        <f>Portfolios!$P$13</f>
        <v>-2.1312105104673718</v>
      </c>
      <c r="AC61" s="138">
        <f>Portfolios!$P$14</f>
        <v>-0.78557102570241866</v>
      </c>
      <c r="AD61" s="138">
        <f>Portfolios!$P$15</f>
        <v>0.17519882647973573</v>
      </c>
      <c r="AE61" s="183"/>
      <c r="AF61" s="183"/>
      <c r="AG61" s="183"/>
      <c r="AH61" s="183"/>
      <c r="AI61" s="183"/>
      <c r="AJ61" s="183"/>
      <c r="AL61" s="343">
        <f>AL60*(1+O61+'Risk Factors'!$J61)</f>
        <v>8.0689859859572222E-2</v>
      </c>
      <c r="AM61" s="343">
        <f>AM60*(1+P61+'Risk Factors'!$J61)</f>
        <v>0.24575509308685803</v>
      </c>
      <c r="AN61" s="343">
        <f>AN60*(1+Q61+'Risk Factors'!$J61)</f>
        <v>0.17971131257172487</v>
      </c>
      <c r="AO61" s="343">
        <f>AO60*(1+R61+'Risk Factors'!$J61)</f>
        <v>0.49976052129919463</v>
      </c>
      <c r="AP61" s="343">
        <f>AP60*(1+S61+'Risk Factors'!$J61)</f>
        <v>0.26925255835955653</v>
      </c>
      <c r="AR61" s="343">
        <f t="shared" si="15"/>
        <v>6.3277760059686813E-2</v>
      </c>
      <c r="AS61" s="343">
        <f t="shared" si="16"/>
        <v>0.19272349513135767</v>
      </c>
      <c r="AT61" s="343">
        <f t="shared" si="17"/>
        <v>0.14093133061224369</v>
      </c>
      <c r="AU61" s="343">
        <f t="shared" si="18"/>
        <v>0.39191698199885922</v>
      </c>
      <c r="AV61" s="343">
        <f t="shared" si="19"/>
        <v>0.21115043219785268</v>
      </c>
      <c r="AW61" s="418">
        <f t="shared" si="20"/>
        <v>1.2751693451769062</v>
      </c>
      <c r="AX61" s="343">
        <f t="shared" si="11"/>
        <v>-1.3780604667357976E-2</v>
      </c>
      <c r="AZ61" s="422">
        <v>42004</v>
      </c>
      <c r="BA61" s="92">
        <f>HLOOKUP(BA$1,'AC4'!$F$1:$AC$109,ROW(),0)*'Management and Hedging'!$G$10</f>
        <v>-4.2015999999999999E-4</v>
      </c>
      <c r="BB61" s="92">
        <f>HLOOKUP(BB$1,'AC4'!$F$1:$AC$109,ROW(),0)*'Management and Hedging'!$G$11</f>
        <v>-2.581310831010342E-3</v>
      </c>
      <c r="BC61" s="92">
        <f>IF('Management and Hedging'!$G$13="yes",BA61+BB61,CQ61)</f>
        <v>-3.0014708310103421E-3</v>
      </c>
      <c r="BD61" s="138" t="e">
        <f>IF(IF('Management and Hedging'!$J$10="no",BL61,BO61)=0,NA(),IF('Management and Hedging'!$J$10="no",BL61,BO61))</f>
        <v>#N/A</v>
      </c>
      <c r="BE61" s="138" t="e">
        <f>IF(IF('Management and Hedging'!$J$10="no",BM61,BP61)=0,NA(),IF('Management and Hedging'!$J$10="no",BM61,BP61))</f>
        <v>#N/A</v>
      </c>
      <c r="BF61" s="138" t="e">
        <f>IF(IF('Management and Hedging'!$J$10="no",BN61,BQ61)=0,NA(),IF('Management and Hedging'!$J$10="no",BN61,BQ61))</f>
        <v>#N/A</v>
      </c>
      <c r="BG61" s="92">
        <f>IF('Management and Hedging'!$G$13="yes",BH61+BI61,CQ61)</f>
        <v>-3.0014708310103421E-3</v>
      </c>
      <c r="BH61" s="92">
        <f>HLOOKUP(BH$1,'Asset Returns'!$F$1:$ZY$109,ROW(),0)*'Management and Hedging'!$G$10</f>
        <v>-4.2015999999999999E-4</v>
      </c>
      <c r="BI61" s="92">
        <f>HLOOKUP(BI$1,'Asset Returns'!$F$1:$ZY$109,ROW(),0)*'Management and Hedging'!$G$11</f>
        <v>-2.581310831010342E-3</v>
      </c>
      <c r="BJ61" s="92">
        <f>HLOOKUP(BJ$1,'AC4'!$F$1:$AC$109,ROW(),0)</f>
        <v>-2.1007999999999999E-3</v>
      </c>
      <c r="BK61" s="92">
        <f>HLOOKUP(BK$1,'AC4'!$F$1:$AC$109,ROW(),0)</f>
        <v>-3.2266385387629271E-3</v>
      </c>
      <c r="BL61" s="138">
        <f ca="1">'Management and Hedging'!$R$34</f>
        <v>2.5919346055080732</v>
      </c>
      <c r="BM61" s="138">
        <f ca="1">'Management and Hedging'!$R$36</f>
        <v>-2.1312105104673718</v>
      </c>
      <c r="BN61" s="138">
        <f>'Management and Hedging'!$R$38</f>
        <v>-1.1865814872722835</v>
      </c>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343">
        <f>CK60*(1+BA61+'Risk Factors'!$J61)</f>
        <v>0.169647047569814</v>
      </c>
      <c r="CL61" s="343">
        <f>CL60*(1+BB61+'Risk Factors'!$J61)</f>
        <v>0.60963445287146578</v>
      </c>
      <c r="CN61" s="343">
        <f t="shared" si="9"/>
        <v>0.2176967469056417</v>
      </c>
      <c r="CO61" s="343">
        <f t="shared" si="12"/>
        <v>0.78230325309435833</v>
      </c>
      <c r="CP61" s="418">
        <f t="shared" si="10"/>
        <v>0.77928150044127975</v>
      </c>
      <c r="CQ61" s="343">
        <f t="shared" si="13"/>
        <v>-2.1116314559173066E-3</v>
      </c>
      <c r="CS61" s="92"/>
      <c r="CT61" s="260"/>
      <c r="CU61" s="260"/>
      <c r="CV61" s="260"/>
      <c r="CW61" s="260"/>
      <c r="CX61" s="260"/>
      <c r="CY61" s="260"/>
      <c r="CZ61" s="260"/>
      <c r="DB61" s="325"/>
      <c r="DC61" s="92"/>
      <c r="DD61" s="92"/>
      <c r="DE61" s="260"/>
      <c r="DF61" s="260"/>
      <c r="DG61" s="260"/>
      <c r="DH61" s="260"/>
      <c r="DI61" s="260"/>
    </row>
    <row r="62" spans="6:113" s="352" customFormat="1">
      <c r="F62" s="421">
        <v>42035</v>
      </c>
      <c r="G62" s="92">
        <f>IF(Portfolios!$G$16="yes",SUM(T62:X62),AX62)</f>
        <v>4.0046589728444812E-2</v>
      </c>
      <c r="H62" s="349">
        <f>IF(IF(Portfolios!$J$10="no",'AC3'!Y62,'AC3'!AE62)=0,NA(),IF(Portfolios!$J$10="no",Y62,AE62))</f>
        <v>-0.71899671888682204</v>
      </c>
      <c r="I62" s="349">
        <f>IF(Portfolios!$J$11="no",NA(),IF(IF(Portfolios!$J$10="no",'AC3'!Z62,'AC3'!AF62)=0,NA(),IF(Portfolios!$J$10="no",Z62,AF62)))</f>
        <v>1.0164371042161231</v>
      </c>
      <c r="J62" s="349">
        <f>IF(Portfolios!$J$11="no",NA(),IF(IF(Portfolios!$J$10="no",'AC3'!AA62,'AC3'!AG62)=0,NA(),IF(Portfolios!$J$10="no",AA62,AG62)))</f>
        <v>1.0052827715223251</v>
      </c>
      <c r="K62" s="349">
        <f>IF(Portfolios!$J$11="no",NA(),IF(IF(Portfolios!$J$10="no",'AC3'!AB62,'AC3'!AH62)=0,NA(),IF(Portfolios!$J$10="no",AB62,AH62)))</f>
        <v>-2.3172046980597458</v>
      </c>
      <c r="L62" s="349">
        <f>IF(Portfolios!$J$11="no",NA(),IF(IF(Portfolios!$J$10="no",'AC3'!AC62,'AC3'!AI62)=0,NA(),IF(Portfolios!$J$10="no",AC62,AI62)))</f>
        <v>-0.77920898980000952</v>
      </c>
      <c r="M62" s="349">
        <f>IF(Portfolios!$J$11="no",NA(),IF(IF(Portfolios!$J$10="no",'AC3'!AD62,'AC3'!AJ62)=0,NA(),IF(Portfolios!$J$10="no",AD62,AJ62)))</f>
        <v>3.8776999486300909E-2</v>
      </c>
      <c r="N62" s="348">
        <f>G62-'Risk Factors'!J62</f>
        <v>4.0046589728444812E-2</v>
      </c>
      <c r="O62" s="350">
        <f>HLOOKUP(O$1,'Asset Returns'!$F$1:$N$109,ROW(),0)-'Risk Factors'!$J62</f>
        <v>-5.2603268995881081E-3</v>
      </c>
      <c r="P62" s="350">
        <f>HLOOKUP(P$1,'Asset Returns'!$F$1:$N$109,ROW(),0)-'Risk Factors'!$J62</f>
        <v>0.20344924926757813</v>
      </c>
      <c r="Q62" s="350">
        <f>HLOOKUP(Q$1,'Asset Returns'!$F$1:$N$109,ROW(),0)-'Risk Factors'!$J62</f>
        <v>6.4614631235599518E-2</v>
      </c>
      <c r="R62" s="350">
        <f>HLOOKUP(R$1,'Asset Returns'!$F$1:$N$109,ROW(),0)-'Risk Factors'!$J62</f>
        <v>3.2437883317470551E-2</v>
      </c>
      <c r="S62" s="350">
        <f>HLOOKUP(S$1,'Asset Returns'!$F$1:$N$109,ROW(),0)-'Risk Factors'!$J62</f>
        <v>-4.4440284371376038E-2</v>
      </c>
      <c r="T62" s="350">
        <f>HLOOKUP(T$1,'Asset Returns'!$F$1:$N$109,ROW(),0)*Portfolios!$G$10</f>
        <v>-5.2603268995881085E-4</v>
      </c>
      <c r="U62" s="350">
        <f>HLOOKUP(U$1,'Asset Returns'!$F$1:$N$109,ROW(),0)*Portfolios!$G$11</f>
        <v>2.0344924926757813E-2</v>
      </c>
      <c r="V62" s="350">
        <f>HLOOKUP(V$1,'Asset Returns'!$F$1:$N$109,ROW(),0)*Portfolios!$G$12</f>
        <v>1.9384389370679853E-2</v>
      </c>
      <c r="W62" s="350">
        <f>HLOOKUP(W$1,'Asset Returns'!$F$1:$N$109,ROW(),0)*Portfolios!$G$13</f>
        <v>9.7313649952411648E-3</v>
      </c>
      <c r="X62" s="350">
        <f>HLOOKUP(X$1,'Asset Returns'!$F$1:$N$109,ROW(),0)*Portfolios!$G$14</f>
        <v>-8.8880568742752061E-3</v>
      </c>
      <c r="Y62" s="349">
        <f>Portfolios!$R$34</f>
        <v>-0.68211369708646341</v>
      </c>
      <c r="Z62" s="138">
        <f>Portfolios!$P$11</f>
        <v>0.9378377404978776</v>
      </c>
      <c r="AA62" s="138">
        <f>Portfolios!$P$12</f>
        <v>0.64097224418739052</v>
      </c>
      <c r="AB62" s="138">
        <f>Portfolios!$P$13</f>
        <v>-2.1312105104673718</v>
      </c>
      <c r="AC62" s="138">
        <f>Portfolios!$P$14</f>
        <v>-0.78557102570241866</v>
      </c>
      <c r="AD62" s="138">
        <f>Portfolios!$P$15</f>
        <v>0.17519882647973573</v>
      </c>
      <c r="AE62" s="351">
        <f>INDEX(LINEST(N2:N62,'AC2'!$F2:$J62,1,1),1,1)</f>
        <v>-0.71899671888682204</v>
      </c>
      <c r="AF62" s="351">
        <f>INDEX(LINEST(O2:O62,'AC2'!$F2:$J62,1,1),1,1)</f>
        <v>1.0164371042161231</v>
      </c>
      <c r="AG62" s="351">
        <f>INDEX(LINEST(P2:P62,'AC2'!$F2:$J62,1,1),1,1)</f>
        <v>1.0052827715223251</v>
      </c>
      <c r="AH62" s="351">
        <f>INDEX(LINEST(Q2:Q62,'AC2'!$F2:$J62,1,1),1,1)</f>
        <v>-2.3172046980597458</v>
      </c>
      <c r="AI62" s="351">
        <f>INDEX(LINEST(R2:R62,'AC2'!$F2:$J62,1,1),1,1)</f>
        <v>-0.77920898980000952</v>
      </c>
      <c r="AJ62" s="351">
        <f>INDEX(LINEST(S2:S62,'AC2'!$F2:$J62,1,1),1,1)</f>
        <v>3.8776999486300909E-2</v>
      </c>
      <c r="AK62" s="343"/>
      <c r="AL62" s="343">
        <f>AL61*(1+O62+'Risk Factors'!$J62)</f>
        <v>8.0265404819228919E-2</v>
      </c>
      <c r="AM62" s="343">
        <f>AM61*(1+P62+'Risk Factors'!$J62)</f>
        <v>0.29575378227906307</v>
      </c>
      <c r="AN62" s="343">
        <f>AN61*(1+Q62+'Risk Factors'!$J62)</f>
        <v>0.19132329276241244</v>
      </c>
      <c r="AO62" s="343">
        <f>AO61*(1+R62+'Risk Factors'!$J62)</f>
        <v>0.5159716947757762</v>
      </c>
      <c r="AP62" s="343">
        <f>AP61*(1+S62+'Risk Factors'!$J62)</f>
        <v>0.25728689809833732</v>
      </c>
      <c r="AQ62" s="343"/>
      <c r="AR62" s="343">
        <f t="shared" si="15"/>
        <v>5.9872699232955254E-2</v>
      </c>
      <c r="AS62" s="343">
        <f t="shared" si="16"/>
        <v>0.22061281934955279</v>
      </c>
      <c r="AT62" s="343">
        <f t="shared" si="17"/>
        <v>0.14271456039649</v>
      </c>
      <c r="AU62" s="343">
        <f t="shared" si="18"/>
        <v>0.38488086073450406</v>
      </c>
      <c r="AV62" s="343">
        <f t="shared" si="19"/>
        <v>0.19191906028649794</v>
      </c>
      <c r="AW62" s="418">
        <f t="shared" si="20"/>
        <v>1.3406010727348179</v>
      </c>
      <c r="AX62" s="343">
        <f t="shared" si="11"/>
        <v>5.1312186734566057E-2</v>
      </c>
      <c r="AZ62" s="421">
        <v>42035</v>
      </c>
      <c r="BA62" s="348">
        <f>HLOOKUP(BA$1,'AC4'!$F$1:$AC$109,ROW(),0)*'Management and Hedging'!$G$10</f>
        <v>1.431578E-2</v>
      </c>
      <c r="BB62" s="348">
        <f>HLOOKUP(BB$1,'AC4'!$F$1:$AC$109,ROW(),0)*'Management and Hedging'!$G$11</f>
        <v>5.1691704988479616E-2</v>
      </c>
      <c r="BC62" s="92">
        <f>IF('Management and Hedging'!$G$13="yes",BA62+BB62,CQ62)</f>
        <v>6.6007484988479609E-2</v>
      </c>
      <c r="BD62" s="349">
        <f>IF(IF('Management and Hedging'!$J$10="no",BL62,BO62)=0,NA(),IF('Management and Hedging'!$J$10="no",BL62,BO62))</f>
        <v>1.9959824580797427</v>
      </c>
      <c r="BE62" s="349">
        <f>IF(IF('Management and Hedging'!$J$10="no",BM62,BP62)=0,NA(),IF('Management and Hedging'!$J$10="no",BM62,BP62))</f>
        <v>-2.3172046980597458</v>
      </c>
      <c r="BF62" s="349">
        <f>IF(IF('Management and Hedging'!$J$10="no",BN62,BQ62)=0,NA(),IF('Management and Hedging'!$J$10="no",BN62,BQ62))</f>
        <v>-1.4545672668318479</v>
      </c>
      <c r="BG62" s="92">
        <f>IF('Management and Hedging'!$G$13="yes",BH62+BI62,CQ62)</f>
        <v>6.6007484988479609E-2</v>
      </c>
      <c r="BH62" s="348">
        <f>HLOOKUP(BH$1,'Asset Returns'!$F$1:$ZY$109,ROW(),0)*'Management and Hedging'!$G$10</f>
        <v>1.431578E-2</v>
      </c>
      <c r="BI62" s="348">
        <f>HLOOKUP(BI$1,'Asset Returns'!$F$1:$ZY$109,ROW(),0)*'Management and Hedging'!$G$11</f>
        <v>5.1691704988479616E-2</v>
      </c>
      <c r="BJ62" s="348">
        <f>HLOOKUP(BJ$1,'AC4'!$F$1:$AC$109,ROW(),0)</f>
        <v>7.1578900000000001E-2</v>
      </c>
      <c r="BK62" s="348">
        <f>HLOOKUP(BK$1,'AC4'!$F$1:$AC$109,ROW(),0)</f>
        <v>6.4614631235599518E-2</v>
      </c>
      <c r="BL62" s="349">
        <f ca="1">'Management and Hedging'!$R$34</f>
        <v>2.5919346055080732</v>
      </c>
      <c r="BM62" s="349">
        <f ca="1">'Management and Hedging'!$R$36</f>
        <v>-2.1312105104673718</v>
      </c>
      <c r="BN62" s="349">
        <f>'Management and Hedging'!$R$38</f>
        <v>-1.1865814872722835</v>
      </c>
      <c r="BO62" s="349">
        <f>INDEX(LINEST(BJ2:BJ62,'AC2'!$F2:$J62,1,1),1,1)</f>
        <v>1.9959824580797427</v>
      </c>
      <c r="BP62" s="349">
        <f>INDEX(LINEST(BK2:BK62,'AC2'!$F2:$J62,1,1),1,1)</f>
        <v>-2.3172046980597458</v>
      </c>
      <c r="BQ62" s="349">
        <f>INDEX(LINEST(BC2:BC62,'AC2'!$F2:$J62,1,1),1,1)</f>
        <v>-1.4545672668318479</v>
      </c>
      <c r="BR62" s="349"/>
      <c r="BS62" s="349"/>
      <c r="BT62" s="349"/>
      <c r="BU62" s="349"/>
      <c r="BV62" s="349"/>
      <c r="BW62" s="349"/>
      <c r="BX62" s="349"/>
      <c r="BY62" s="349"/>
      <c r="BZ62" s="349"/>
      <c r="CA62" s="349"/>
      <c r="CB62" s="349"/>
      <c r="CC62" s="349"/>
      <c r="CD62" s="349"/>
      <c r="CE62" s="349"/>
      <c r="CF62" s="349"/>
      <c r="CG62" s="349"/>
      <c r="CH62" s="349"/>
      <c r="CI62" s="349"/>
      <c r="CJ62" s="349"/>
      <c r="CK62" s="343">
        <f>CK61*(1+BA62+'Risk Factors'!$J62)</f>
        <v>0.172075677380473</v>
      </c>
      <c r="CL62" s="343">
        <f>CL61*(1+BB62+'Risk Factors'!$J62)</f>
        <v>0.64114749716011077</v>
      </c>
      <c r="CM62" s="343"/>
      <c r="CN62" s="343">
        <f t="shared" si="9"/>
        <v>0.21159711474981532</v>
      </c>
      <c r="CO62" s="343">
        <f t="shared" si="12"/>
        <v>0.78840288525018465</v>
      </c>
      <c r="CP62" s="418">
        <f t="shared" si="10"/>
        <v>0.81322317454058379</v>
      </c>
      <c r="CQ62" s="343">
        <f t="shared" si="13"/>
        <v>4.3555087705898332E-2</v>
      </c>
      <c r="CR62" s="343"/>
      <c r="CS62" s="348"/>
      <c r="CT62" s="350"/>
      <c r="CU62" s="350"/>
      <c r="CV62" s="350"/>
      <c r="CW62" s="350"/>
      <c r="CX62" s="350"/>
      <c r="CY62" s="350"/>
      <c r="CZ62" s="350"/>
      <c r="DA62" s="353"/>
      <c r="DB62" s="347"/>
      <c r="DC62" s="348"/>
      <c r="DD62" s="348"/>
      <c r="DE62" s="350"/>
      <c r="DF62" s="350"/>
      <c r="DG62" s="350"/>
      <c r="DH62" s="350"/>
      <c r="DI62" s="350"/>
    </row>
    <row r="63" spans="6:113">
      <c r="F63" s="421">
        <v>42063</v>
      </c>
      <c r="G63" s="92">
        <f>IF(Portfolios!$G$16="yes",SUM(T63:X63),AX63)</f>
        <v>5.5863281060010192E-2</v>
      </c>
      <c r="H63" s="138">
        <f>IF(IF(Portfolios!$J$10="no",'AC3'!Y63,'AC3'!AE63)=0,NA(),IF(Portfolios!$J$10="no",Y63,AE63))</f>
        <v>-0.81539328207672879</v>
      </c>
      <c r="I63" s="138">
        <f>IF(Portfolios!$J$11="no",NA(),IF(IF(Portfolios!$J$10="no",'AC3'!Z63,'AC3'!AF63)=0,NA(),IF(Portfolios!$J$10="no",Z63,AF63)))</f>
        <v>1.1143612791544171</v>
      </c>
      <c r="J63" s="138">
        <f>IF(Portfolios!$J$11="no",NA(),IF(IF(Portfolios!$J$10="no",'AC3'!AA63,'AC3'!AG63)=0,NA(),IF(Portfolios!$J$10="no",AA63,AG63)))</f>
        <v>0.90252146470996986</v>
      </c>
      <c r="K63" s="138">
        <f>IF(Portfolios!$J$11="no",NA(),IF(IF(Portfolios!$J$10="no",'AC3'!AB63,'AC3'!AH63)=0,NA(),IF(Portfolios!$J$10="no",AB63,AH63)))</f>
        <v>-2.513661463851673</v>
      </c>
      <c r="L63" s="138">
        <f>IF(Portfolios!$J$11="no",NA(),IF(IF(Portfolios!$J$10="no",'AC3'!AC63,'AC3'!AI63)=0,NA(),IF(Portfolios!$J$10="no",AC63,AI63)))</f>
        <v>-0.86521384771873311</v>
      </c>
      <c r="M63" s="138">
        <f>IF(Portfolios!$J$11="no",NA(),IF(IF(Portfolios!$J$10="no",'AC3'!AD63,'AC3'!AJ63)=0,NA(),IF(Portfolios!$J$10="no",AD63,AJ63)))</f>
        <v>-1.7094814960225337E-2</v>
      </c>
      <c r="N63" s="92">
        <f>G63-'Risk Factors'!J63</f>
        <v>5.5863281060010192E-2</v>
      </c>
      <c r="O63" s="260">
        <f>HLOOKUP(O$1,'Asset Returns'!$F$1:$N$109,ROW(),0)-'Risk Factors'!$J63</f>
        <v>0.1024782806634903</v>
      </c>
      <c r="P63" s="260">
        <f>HLOOKUP(P$1,'Asset Returns'!$F$1:$N$109,ROW(),0)-'Risk Factors'!$J63</f>
        <v>-1.5022198669612408E-2</v>
      </c>
      <c r="Q63" s="260">
        <f>HLOOKUP(Q$1,'Asset Returns'!$F$1:$N$109,ROW(),0)-'Risk Factors'!$J63</f>
        <v>7.8265644609928131E-2</v>
      </c>
      <c r="R63" s="260">
        <f>HLOOKUP(R$1,'Asset Returns'!$F$1:$N$109,ROW(),0)-'Risk Factors'!$J63</f>
        <v>3.6323152482509613E-2</v>
      </c>
      <c r="S63" s="260">
        <f>HLOOKUP(S$1,'Asset Returns'!$F$1:$N$109,ROW(),0)-'Risk Factors'!$J63</f>
        <v>6.3705168664455414E-2</v>
      </c>
      <c r="T63" s="260">
        <f>HLOOKUP(T$1,'Asset Returns'!$F$1:$N$109,ROW(),0)*Portfolios!$G$10</f>
        <v>1.0247828066349031E-2</v>
      </c>
      <c r="U63" s="260">
        <f>HLOOKUP(U$1,'Asset Returns'!$F$1:$N$109,ROW(),0)*Portfolios!$G$11</f>
        <v>-1.5022198669612408E-3</v>
      </c>
      <c r="V63" s="260">
        <f>HLOOKUP(V$1,'Asset Returns'!$F$1:$N$109,ROW(),0)*Portfolios!$G$12</f>
        <v>2.347969338297844E-2</v>
      </c>
      <c r="W63" s="260">
        <f>HLOOKUP(W$1,'Asset Returns'!$F$1:$N$109,ROW(),0)*Portfolios!$G$13</f>
        <v>1.0896945744752884E-2</v>
      </c>
      <c r="X63" s="260">
        <f>HLOOKUP(X$1,'Asset Returns'!$F$1:$N$109,ROW(),0)*Portfolios!$G$14</f>
        <v>1.274103373289108E-2</v>
      </c>
      <c r="Y63" s="138">
        <f>Portfolios!$R$34</f>
        <v>-0.68211369708646341</v>
      </c>
      <c r="Z63" s="138">
        <f>Portfolios!$P$11</f>
        <v>0.9378377404978776</v>
      </c>
      <c r="AA63" s="138">
        <f>Portfolios!$P$12</f>
        <v>0.64097224418739052</v>
      </c>
      <c r="AB63" s="138">
        <f>Portfolios!$P$13</f>
        <v>-2.1312105104673718</v>
      </c>
      <c r="AC63" s="138">
        <f>Portfolios!$P$14</f>
        <v>-0.78557102570241866</v>
      </c>
      <c r="AD63" s="138">
        <f>Portfolios!$P$15</f>
        <v>0.17519882647973573</v>
      </c>
      <c r="AE63" s="183">
        <f>INDEX(LINEST(N3:N63,'AC2'!$F3:$J63,1,1),1,1)</f>
        <v>-0.81539328207672879</v>
      </c>
      <c r="AF63" s="183">
        <f>INDEX(LINEST(O3:O63,'AC2'!$F3:$J63,1,1),1,1)</f>
        <v>1.1143612791544171</v>
      </c>
      <c r="AG63" s="183">
        <f>INDEX(LINEST(P3:P63,'AC2'!$F3:$J63,1,1),1,1)</f>
        <v>0.90252146470996986</v>
      </c>
      <c r="AH63" s="183">
        <f>INDEX(LINEST(Q3:Q63,'AC2'!$F3:$J63,1,1),1,1)</f>
        <v>-2.513661463851673</v>
      </c>
      <c r="AI63" s="183">
        <f>INDEX(LINEST(R3:R63,'AC2'!$F3:$J63,1,1),1,1)</f>
        <v>-0.86521384771873311</v>
      </c>
      <c r="AJ63" s="183">
        <f>INDEX(LINEST(S3:S63,'AC2'!$F3:$J63,1,1),1,1)</f>
        <v>-1.7094814960225337E-2</v>
      </c>
      <c r="AL63" s="343">
        <f>AL62*(1+O63+'Risk Factors'!$J63)</f>
        <v>8.8490865501862526E-2</v>
      </c>
      <c r="AM63" s="343">
        <f>AM62*(1+P63+'Risk Factors'!$J63)</f>
        <v>0.29131091020437772</v>
      </c>
      <c r="AN63" s="343">
        <f>AN62*(1+Q63+'Risk Factors'!$J63)</f>
        <v>0.20629733359935665</v>
      </c>
      <c r="AO63" s="343">
        <f>AO62*(1+R63+'Risk Factors'!$J63)</f>
        <v>0.53471341332177558</v>
      </c>
      <c r="AP63" s="343">
        <f>AP62*(1+S63+'Risk Factors'!$J63)</f>
        <v>0.27367740333684648</v>
      </c>
      <c r="AR63" s="343">
        <f t="shared" si="15"/>
        <v>6.3457515077188956E-2</v>
      </c>
      <c r="AS63" s="343">
        <f t="shared" si="16"/>
        <v>0.20890140888106526</v>
      </c>
      <c r="AT63" s="343">
        <f t="shared" si="17"/>
        <v>0.14793748578478436</v>
      </c>
      <c r="AU63" s="343">
        <f t="shared" si="18"/>
        <v>0.38344731171295371</v>
      </c>
      <c r="AV63" s="343">
        <f t="shared" si="19"/>
        <v>0.19625627854400773</v>
      </c>
      <c r="AW63" s="418">
        <f t="shared" si="20"/>
        <v>1.3944899259642189</v>
      </c>
      <c r="AX63" s="343">
        <f t="shared" si="11"/>
        <v>4.0197531036931133E-2</v>
      </c>
      <c r="AZ63" s="421">
        <v>42063</v>
      </c>
      <c r="BA63" s="92">
        <f>HLOOKUP(BA$1,'AC4'!$F$1:$AC$109,ROW(),0)*'Management and Hedging'!$G$10</f>
        <v>-6.2868399999999993E-3</v>
      </c>
      <c r="BB63" s="92">
        <f>HLOOKUP(BB$1,'AC4'!$F$1:$AC$109,ROW(),0)*'Management and Hedging'!$G$11</f>
        <v>6.2612515687942502E-2</v>
      </c>
      <c r="BC63" s="92">
        <f>IF('Management and Hedging'!$G$13="yes",BA63+BB63,CQ63)</f>
        <v>5.63256756879425E-2</v>
      </c>
      <c r="BD63" s="138">
        <f>IF(IF('Management and Hedging'!$J$10="no",BL63,BO63)=0,NA(),IF('Management and Hedging'!$J$10="no",BL63,BO63))</f>
        <v>1.9143994878536796</v>
      </c>
      <c r="BE63" s="138">
        <f>IF(IF('Management and Hedging'!$J$10="no",BM63,BP63)=0,NA(),IF('Management and Hedging'!$J$10="no",BM63,BP63))</f>
        <v>-2.513661463851673</v>
      </c>
      <c r="BF63" s="138">
        <f>IF(IF('Management and Hedging'!$J$10="no",BN63,BQ63)=0,NA(),IF('Management and Hedging'!$J$10="no",BN63,BQ63))</f>
        <v>-1.6280492735106029</v>
      </c>
      <c r="BG63" s="92">
        <f>IF('Management and Hedging'!$G$13="yes",BH63+BI63,CQ63)</f>
        <v>5.63256756879425E-2</v>
      </c>
      <c r="BH63" s="92">
        <f>HLOOKUP(BH$1,'Asset Returns'!$F$1:$ZY$109,ROW(),0)*'Management and Hedging'!$G$10</f>
        <v>-6.2868399999999993E-3</v>
      </c>
      <c r="BI63" s="92">
        <f>HLOOKUP(BI$1,'Asset Returns'!$F$1:$ZY$109,ROW(),0)*'Management and Hedging'!$G$11</f>
        <v>6.2612515687942502E-2</v>
      </c>
      <c r="BJ63" s="92">
        <f>HLOOKUP(BJ$1,'AC4'!$F$1:$AC$109,ROW(),0)</f>
        <v>-3.1434199999999995E-2</v>
      </c>
      <c r="BK63" s="92">
        <f>HLOOKUP(BK$1,'AC4'!$F$1:$AC$109,ROW(),0)</f>
        <v>7.8265644609928131E-2</v>
      </c>
      <c r="BL63" s="138">
        <f ca="1">'Management and Hedging'!$R$34</f>
        <v>2.5919346055080732</v>
      </c>
      <c r="BM63" s="138">
        <f ca="1">'Management and Hedging'!$R$36</f>
        <v>-2.1312105104673718</v>
      </c>
      <c r="BN63" s="138">
        <f>'Management and Hedging'!$R$38</f>
        <v>-1.1865814872722835</v>
      </c>
      <c r="BO63" s="138">
        <f>INDEX(LINEST(BJ3:BJ63,'AC2'!$F3:$J63,1,1),1,1)</f>
        <v>1.9143994878536796</v>
      </c>
      <c r="BP63" s="138">
        <f>INDEX(LINEST(BK3:BK63,'AC2'!$F3:$J63,1,1),1,1)</f>
        <v>-2.513661463851673</v>
      </c>
      <c r="BQ63" s="138">
        <f>INDEX(LINEST(BC3:BC63,'AC2'!$F3:$J63,1,1),1,1)</f>
        <v>-1.6280492735106029</v>
      </c>
      <c r="BR63" s="138"/>
      <c r="BS63" s="138"/>
      <c r="BT63" s="138"/>
      <c r="BU63" s="138"/>
      <c r="BV63" s="138"/>
      <c r="BW63" s="138"/>
      <c r="BX63" s="138"/>
      <c r="BY63" s="138"/>
      <c r="BZ63" s="138"/>
      <c r="CA63" s="138"/>
      <c r="CB63" s="138"/>
      <c r="CC63" s="138"/>
      <c r="CD63" s="138"/>
      <c r="CE63" s="138"/>
      <c r="CF63" s="138"/>
      <c r="CG63" s="138"/>
      <c r="CH63" s="138"/>
      <c r="CI63" s="138"/>
      <c r="CJ63" s="138"/>
      <c r="CK63" s="343">
        <f>CK62*(1+BA63+'Risk Factors'!$J63)</f>
        <v>0.17099386512889034</v>
      </c>
      <c r="CL63" s="343">
        <f>CL62*(1+BB63+'Risk Factors'!$J63)</f>
        <v>0.68129135488433323</v>
      </c>
      <c r="CN63" s="343">
        <f t="shared" si="9"/>
        <v>0.20062986088886686</v>
      </c>
      <c r="CO63" s="343">
        <f t="shared" si="12"/>
        <v>0.79937013911113308</v>
      </c>
      <c r="CP63" s="418">
        <f t="shared" si="10"/>
        <v>0.8522852200132236</v>
      </c>
      <c r="CQ63" s="343">
        <f t="shared" si="13"/>
        <v>4.8033610816252459E-2</v>
      </c>
      <c r="CS63" s="92"/>
      <c r="CT63" s="260"/>
      <c r="CU63" s="260"/>
      <c r="CV63" s="260"/>
      <c r="CW63" s="260"/>
      <c r="CX63" s="260"/>
      <c r="CY63" s="260"/>
      <c r="CZ63" s="260"/>
      <c r="DB63" s="325"/>
      <c r="DC63" s="92"/>
      <c r="DD63" s="92"/>
      <c r="DE63" s="260"/>
      <c r="DF63" s="260"/>
      <c r="DG63" s="260"/>
      <c r="DH63" s="260"/>
      <c r="DI63" s="260"/>
    </row>
    <row r="64" spans="6:113">
      <c r="F64" s="421">
        <v>42094</v>
      </c>
      <c r="G64" s="92">
        <f>IF(Portfolios!$G$16="yes",SUM(T64:X64),AX64)</f>
        <v>-3.2537020742893314E-4</v>
      </c>
      <c r="H64" s="138">
        <f>IF(IF(Portfolios!$J$10="no",'AC3'!Y64,'AC3'!AE64)=0,NA(),IF(Portfolios!$J$10="no",Y64,AE64))</f>
        <v>-0.78047205810071418</v>
      </c>
      <c r="I64" s="138">
        <f>IF(Portfolios!$J$11="no",NA(),IF(IF(Portfolios!$J$10="no",'AC3'!Z64,'AC3'!AF64)=0,NA(),IF(Portfolios!$J$10="no",Z64,AF64)))</f>
        <v>1.1542197603102256</v>
      </c>
      <c r="J64" s="138">
        <f>IF(Portfolios!$J$11="no",NA(),IF(IF(Portfolios!$J$10="no",'AC3'!AA64,'AC3'!AG64)=0,NA(),IF(Portfolios!$J$10="no",AA64,AG64)))</f>
        <v>0.9658387847918829</v>
      </c>
      <c r="K64" s="138">
        <f>IF(Portfolios!$J$11="no",NA(),IF(IF(Portfolios!$J$10="no",'AC3'!AB64,'AC3'!AH64)=0,NA(),IF(Portfolios!$J$10="no",AB64,AH64)))</f>
        <v>-2.3986668113678409</v>
      </c>
      <c r="L64" s="138">
        <f>IF(Portfolios!$J$11="no",NA(),IF(IF(Portfolios!$J$10="no",'AC3'!AC64,'AC3'!AI64)=0,NA(),IF(Portfolios!$J$10="no",AC64,AI64)))</f>
        <v>-0.87997954958112523</v>
      </c>
      <c r="M64" s="138">
        <f>IF(Portfolios!$J$11="no",NA(),IF(IF(Portfolios!$J$10="no",'AC3'!AD64,'AC3'!AJ64)=0,NA(),IF(Portfolios!$J$10="no",AD64,AJ64)))</f>
        <v>-4.4420021631175373E-2</v>
      </c>
      <c r="N64" s="92">
        <f>G64-'Risk Factors'!J64</f>
        <v>-3.2537020742893314E-4</v>
      </c>
      <c r="O64" s="260">
        <f>HLOOKUP(O$1,'Asset Returns'!$F$1:$N$109,ROW(),0)-'Risk Factors'!$J64</f>
        <v>-6.3746899366378784E-2</v>
      </c>
      <c r="P64" s="260">
        <f>HLOOKUP(P$1,'Asset Returns'!$F$1:$N$109,ROW(),0)-'Risk Factors'!$J64</f>
        <v>-5.5246051400899887E-2</v>
      </c>
      <c r="Q64" s="260">
        <f>HLOOKUP(Q$1,'Asset Returns'!$F$1:$N$109,ROW(),0)-'Risk Factors'!$J64</f>
        <v>-7.1604475378990173E-3</v>
      </c>
      <c r="R64" s="260">
        <f>HLOOKUP(R$1,'Asset Returns'!$F$1:$N$109,ROW(),0)-'Risk Factors'!$J64</f>
        <v>5.1668319851160049E-2</v>
      </c>
      <c r="S64" s="260">
        <f>HLOOKUP(S$1,'Asset Returns'!$F$1:$N$109,ROW(),0)-'Risk Factors'!$J64</f>
        <v>-8.8921841233968735E-3</v>
      </c>
      <c r="T64" s="260">
        <f>HLOOKUP(T$1,'Asset Returns'!$F$1:$N$109,ROW(),0)*Portfolios!$G$10</f>
        <v>-6.3746899366378786E-3</v>
      </c>
      <c r="U64" s="260">
        <f>HLOOKUP(U$1,'Asset Returns'!$F$1:$N$109,ROW(),0)*Portfolios!$G$11</f>
        <v>-5.5246051400899892E-3</v>
      </c>
      <c r="V64" s="260">
        <f>HLOOKUP(V$1,'Asset Returns'!$F$1:$N$109,ROW(),0)*Portfolios!$G$12</f>
        <v>-2.1481342613697053E-3</v>
      </c>
      <c r="W64" s="260">
        <f>HLOOKUP(W$1,'Asset Returns'!$F$1:$N$109,ROW(),0)*Portfolios!$G$13</f>
        <v>1.5500495955348014E-2</v>
      </c>
      <c r="X64" s="260">
        <f>HLOOKUP(X$1,'Asset Returns'!$F$1:$N$109,ROW(),0)*Portfolios!$G$14</f>
        <v>-1.7784368246793743E-3</v>
      </c>
      <c r="Y64" s="138">
        <f>Portfolios!$R$34</f>
        <v>-0.68211369708646341</v>
      </c>
      <c r="Z64" s="138">
        <f>Portfolios!$P$11</f>
        <v>0.9378377404978776</v>
      </c>
      <c r="AA64" s="138">
        <f>Portfolios!$P$12</f>
        <v>0.64097224418739052</v>
      </c>
      <c r="AB64" s="138">
        <f>Portfolios!$P$13</f>
        <v>-2.1312105104673718</v>
      </c>
      <c r="AC64" s="138">
        <f>Portfolios!$P$14</f>
        <v>-0.78557102570241866</v>
      </c>
      <c r="AD64" s="138">
        <f>Portfolios!$P$15</f>
        <v>0.17519882647973573</v>
      </c>
      <c r="AE64" s="183">
        <f>INDEX(LINEST(N4:N64,'AC2'!$F4:$J64,1,1),1,1)</f>
        <v>-0.78047205810071418</v>
      </c>
      <c r="AF64" s="183">
        <f>INDEX(LINEST(O4:O64,'AC2'!$F4:$J64,1,1),1,1)</f>
        <v>1.1542197603102256</v>
      </c>
      <c r="AG64" s="183">
        <f>INDEX(LINEST(P4:P64,'AC2'!$F4:$J64,1,1),1,1)</f>
        <v>0.9658387847918829</v>
      </c>
      <c r="AH64" s="183">
        <f>INDEX(LINEST(Q4:Q64,'AC2'!$F4:$J64,1,1),1,1)</f>
        <v>-2.3986668113678409</v>
      </c>
      <c r="AI64" s="183">
        <f>INDEX(LINEST(R4:R64,'AC2'!$F4:$J64,1,1),1,1)</f>
        <v>-0.87997954958112523</v>
      </c>
      <c r="AJ64" s="183">
        <f>INDEX(LINEST(S4:S64,'AC2'!$F4:$J64,1,1),1,1)</f>
        <v>-4.4420021631175373E-2</v>
      </c>
      <c r="AL64" s="343">
        <f>AL63*(1+O64+'Risk Factors'!$J64)</f>
        <v>8.2849847203871535E-2</v>
      </c>
      <c r="AM64" s="343">
        <f>AM63*(1+P64+'Risk Factors'!$J64)</f>
        <v>0.27521713268558373</v>
      </c>
      <c r="AN64" s="343">
        <f>AN63*(1+Q64+'Risk Factors'!$J64)</f>
        <v>0.20482015236491</v>
      </c>
      <c r="AO64" s="343">
        <f>AO63*(1+R64+'Risk Factors'!$J64)</f>
        <v>0.56234115698999065</v>
      </c>
      <c r="AP64" s="343">
        <f>AP63*(1+S64+'Risk Factors'!$J64)</f>
        <v>0.2712438134759621</v>
      </c>
      <c r="AR64" s="343">
        <f t="shared" si="15"/>
        <v>5.9327964405791286E-2</v>
      </c>
      <c r="AS64" s="343">
        <f t="shared" si="16"/>
        <v>0.19708029408497504</v>
      </c>
      <c r="AT64" s="343">
        <f t="shared" si="17"/>
        <v>0.14666970572911681</v>
      </c>
      <c r="AU64" s="343">
        <f t="shared" si="18"/>
        <v>0.40268699667866903</v>
      </c>
      <c r="AV64" s="343">
        <f t="shared" si="19"/>
        <v>0.19423503910144788</v>
      </c>
      <c r="AW64" s="418">
        <f t="shared" si="20"/>
        <v>1.396472102720318</v>
      </c>
      <c r="AX64" s="343">
        <f t="shared" si="11"/>
        <v>1.4214349771859425E-3</v>
      </c>
      <c r="AZ64" s="421">
        <v>42094</v>
      </c>
      <c r="BA64" s="92">
        <f>HLOOKUP(BA$1,'AC4'!$F$1:$AC$109,ROW(),0)*'Management and Hedging'!$G$10</f>
        <v>-2.028398E-2</v>
      </c>
      <c r="BB64" s="92">
        <f>HLOOKUP(BB$1,'AC4'!$F$1:$AC$109,ROW(),0)*'Management and Hedging'!$G$11</f>
        <v>-5.7283580303192144E-3</v>
      </c>
      <c r="BC64" s="92">
        <f>IF('Management and Hedging'!$G$13="yes",BA64+BB64,CQ64)</f>
        <v>-2.6012338030319215E-2</v>
      </c>
      <c r="BD64" s="138">
        <f>IF(IF('Management and Hedging'!$J$10="no",BL64,BO64)=0,NA(),IF('Management and Hedging'!$J$10="no",BL64,BO64))</f>
        <v>1.9534648034348372</v>
      </c>
      <c r="BE64" s="138">
        <f>IF(IF('Management and Hedging'!$J$10="no",BM64,BP64)=0,NA(),IF('Management and Hedging'!$J$10="no",BM64,BP64))</f>
        <v>-2.3986668113678409</v>
      </c>
      <c r="BF64" s="138">
        <f>IF(IF('Management and Hedging'!$J$10="no",BN64,BQ64)=0,NA(),IF('Management and Hedging'!$J$10="no",BN64,BQ64))</f>
        <v>-1.5282404884073062</v>
      </c>
      <c r="BG64" s="92">
        <f>IF('Management and Hedging'!$G$13="yes",BH64+BI64,CQ64)</f>
        <v>-2.6012338030319215E-2</v>
      </c>
      <c r="BH64" s="92">
        <f>HLOOKUP(BH$1,'Asset Returns'!$F$1:$ZY$109,ROW(),0)*'Management and Hedging'!$G$10</f>
        <v>-2.028398E-2</v>
      </c>
      <c r="BI64" s="92">
        <f>HLOOKUP(BI$1,'Asset Returns'!$F$1:$ZY$109,ROW(),0)*'Management and Hedging'!$G$11</f>
        <v>-5.7283580303192144E-3</v>
      </c>
      <c r="BJ64" s="92">
        <f>HLOOKUP(BJ$1,'AC4'!$F$1:$AC$109,ROW(),0)</f>
        <v>-0.10141989999999999</v>
      </c>
      <c r="BK64" s="92">
        <f>HLOOKUP(BK$1,'AC4'!$F$1:$AC$109,ROW(),0)</f>
        <v>-7.1604475378990173E-3</v>
      </c>
      <c r="BL64" s="138">
        <f ca="1">'Management and Hedging'!$R$34</f>
        <v>2.5919346055080732</v>
      </c>
      <c r="BM64" s="138">
        <f ca="1">'Management and Hedging'!$R$36</f>
        <v>-2.1312105104673718</v>
      </c>
      <c r="BN64" s="138">
        <f>'Management and Hedging'!$R$38</f>
        <v>-1.1865814872722835</v>
      </c>
      <c r="BO64" s="138">
        <f>INDEX(LINEST(BJ4:BJ64,'AC2'!$F4:$J64,1,1),1,1)</f>
        <v>1.9534648034348372</v>
      </c>
      <c r="BP64" s="138">
        <f>INDEX(LINEST(BK4:BK64,'AC2'!$F4:$J64,1,1),1,1)</f>
        <v>-2.3986668113678409</v>
      </c>
      <c r="BQ64" s="138">
        <f>INDEX(LINEST(BC4:BC64,'AC2'!$F4:$J64,1,1),1,1)</f>
        <v>-1.5282404884073062</v>
      </c>
      <c r="BR64" s="138"/>
      <c r="BS64" s="138"/>
      <c r="BT64" s="138"/>
      <c r="BU64" s="138"/>
      <c r="BV64" s="138"/>
      <c r="BW64" s="138"/>
      <c r="BX64" s="138"/>
      <c r="BY64" s="138"/>
      <c r="BZ64" s="138"/>
      <c r="CA64" s="138"/>
      <c r="CB64" s="138"/>
      <c r="CC64" s="138"/>
      <c r="CD64" s="138"/>
      <c r="CE64" s="138"/>
      <c r="CF64" s="138"/>
      <c r="CG64" s="138"/>
      <c r="CH64" s="138"/>
      <c r="CI64" s="138"/>
      <c r="CJ64" s="138"/>
      <c r="CK64" s="343">
        <f>CK63*(1+BA64+'Risk Factors'!$J64)</f>
        <v>0.16752542898849324</v>
      </c>
      <c r="CL64" s="343">
        <f>CL63*(1+BB64+'Risk Factors'!$J64)</f>
        <v>0.67738867408059444</v>
      </c>
      <c r="CN64" s="343">
        <f t="shared" si="9"/>
        <v>0.19827510084157618</v>
      </c>
      <c r="CO64" s="343">
        <f t="shared" si="12"/>
        <v>0.80172489915842382</v>
      </c>
      <c r="CP64" s="418">
        <f t="shared" si="10"/>
        <v>0.84491410306908765</v>
      </c>
      <c r="CQ64" s="343">
        <f t="shared" si="13"/>
        <v>-8.6486504412472964E-3</v>
      </c>
      <c r="CS64" s="92"/>
      <c r="CT64" s="260"/>
      <c r="CU64" s="260"/>
      <c r="CV64" s="260"/>
      <c r="CW64" s="260"/>
      <c r="CX64" s="260"/>
      <c r="CY64" s="260"/>
      <c r="CZ64" s="260"/>
      <c r="DB64" s="325"/>
      <c r="DC64" s="92"/>
      <c r="DD64" s="92"/>
      <c r="DE64" s="260"/>
      <c r="DF64" s="260"/>
      <c r="DG64" s="260"/>
      <c r="DH64" s="260"/>
      <c r="DI64" s="260"/>
    </row>
    <row r="65" spans="6:113">
      <c r="F65" s="421">
        <v>42124</v>
      </c>
      <c r="G65" s="92">
        <f>IF(Portfolios!$G$16="yes",SUM(T65:X65),AX65)</f>
        <v>4.6496682579163451E-2</v>
      </c>
      <c r="H65" s="138">
        <f>IF(IF(Portfolios!$J$10="no",'AC3'!Y65,'AC3'!AE65)=0,NA(),IF(Portfolios!$J$10="no",Y65,AE65))</f>
        <v>-0.7736588925125204</v>
      </c>
      <c r="I65" s="138">
        <f>IF(Portfolios!$J$11="no",NA(),IF(IF(Portfolios!$J$10="no",'AC3'!Z65,'AC3'!AF65)=0,NA(),IF(Portfolios!$J$10="no",Z65,AF65)))</f>
        <v>1.2507951024672173</v>
      </c>
      <c r="J65" s="138">
        <f>IF(Portfolios!$J$11="no",NA(),IF(IF(Portfolios!$J$10="no",'AC3'!AA65,'AC3'!AG65)=0,NA(),IF(Portfolios!$J$10="no",AA65,AG65)))</f>
        <v>0.63594984253558706</v>
      </c>
      <c r="K65" s="138">
        <f>IF(Portfolios!$J$11="no",NA(),IF(IF(Portfolios!$J$10="no",'AC3'!AB65,'AC3'!AH65)=0,NA(),IF(Portfolios!$J$10="no",AB65,AH65)))</f>
        <v>-2.32242721477615</v>
      </c>
      <c r="L65" s="138">
        <f>IF(Portfolios!$J$11="no",NA(),IF(IF(Portfolios!$J$10="no",'AC3'!AC65,'AC3'!AI65)=0,NA(),IF(Portfolios!$J$10="no",AC65,AI65)))</f>
        <v>-0.90814020705184917</v>
      </c>
      <c r="M65" s="138">
        <f>IF(Portfolios!$J$11="no",NA(),IF(IF(Portfolios!$J$10="no",'AC3'!AD65,'AC3'!AJ65)=0,NA(),IF(Portfolios!$J$10="no",AD65,AJ65)))</f>
        <v>3.4184197677994889E-2</v>
      </c>
      <c r="N65" s="92">
        <f>G65-'Risk Factors'!J65</f>
        <v>4.6496682579163451E-2</v>
      </c>
      <c r="O65" s="260">
        <f>HLOOKUP(O$1,'Asset Returns'!$F$1:$N$109,ROW(),0)-'Risk Factors'!$J65</f>
        <v>0.11438260227441788</v>
      </c>
      <c r="P65" s="260">
        <f>HLOOKUP(P$1,'Asset Returns'!$F$1:$N$109,ROW(),0)-'Risk Factors'!$J65</f>
        <v>-8.0062888562679291E-2</v>
      </c>
      <c r="Q65" s="260">
        <f>HLOOKUP(Q$1,'Asset Returns'!$F$1:$N$109,ROW(),0)-'Risk Factors'!$J65</f>
        <v>9.9586963653564453E-2</v>
      </c>
      <c r="R65" s="260">
        <f>HLOOKUP(R$1,'Asset Returns'!$F$1:$N$109,ROW(),0)-'Risk Factors'!$J65</f>
        <v>-8.5619848687201738E-4</v>
      </c>
      <c r="S65" s="260">
        <f>HLOOKUP(S$1,'Asset Returns'!$F$1:$N$109,ROW(),0)-'Risk Factors'!$J65</f>
        <v>6.7227408289909363E-2</v>
      </c>
      <c r="T65" s="260">
        <f>HLOOKUP(T$1,'Asset Returns'!$F$1:$N$109,ROW(),0)*Portfolios!$G$10</f>
        <v>1.1438260227441788E-2</v>
      </c>
      <c r="U65" s="260">
        <f>HLOOKUP(U$1,'Asset Returns'!$F$1:$N$109,ROW(),0)*Portfolios!$G$11</f>
        <v>-8.0062888562679301E-3</v>
      </c>
      <c r="V65" s="260">
        <f>HLOOKUP(V$1,'Asset Returns'!$F$1:$N$109,ROW(),0)*Portfolios!$G$12</f>
        <v>2.9876089096069335E-2</v>
      </c>
      <c r="W65" s="260">
        <f>HLOOKUP(W$1,'Asset Returns'!$F$1:$N$109,ROW(),0)*Portfolios!$G$13</f>
        <v>-2.5685954606160518E-4</v>
      </c>
      <c r="X65" s="260">
        <f>HLOOKUP(X$1,'Asset Returns'!$F$1:$N$109,ROW(),0)*Portfolios!$G$14</f>
        <v>1.3445481657981869E-2</v>
      </c>
      <c r="Y65" s="138">
        <f>Portfolios!$R$34</f>
        <v>-0.68211369708646341</v>
      </c>
      <c r="Z65" s="138">
        <f>Portfolios!$P$11</f>
        <v>0.9378377404978776</v>
      </c>
      <c r="AA65" s="138">
        <f>Portfolios!$P$12</f>
        <v>0.64097224418739052</v>
      </c>
      <c r="AB65" s="138">
        <f>Portfolios!$P$13</f>
        <v>-2.1312105104673718</v>
      </c>
      <c r="AC65" s="138">
        <f>Portfolios!$P$14</f>
        <v>-0.78557102570241866</v>
      </c>
      <c r="AD65" s="138">
        <f>Portfolios!$P$15</f>
        <v>0.17519882647973573</v>
      </c>
      <c r="AE65" s="183">
        <f>INDEX(LINEST(N5:N65,'AC2'!$F5:$J65,1,1),1,1)</f>
        <v>-0.7736588925125204</v>
      </c>
      <c r="AF65" s="183">
        <f>INDEX(LINEST(O5:O65,'AC2'!$F5:$J65,1,1),1,1)</f>
        <v>1.2507951024672173</v>
      </c>
      <c r="AG65" s="183">
        <f>INDEX(LINEST(P5:P65,'AC2'!$F5:$J65,1,1),1,1)</f>
        <v>0.63594984253558706</v>
      </c>
      <c r="AH65" s="183">
        <f>INDEX(LINEST(Q5:Q65,'AC2'!$F5:$J65,1,1),1,1)</f>
        <v>-2.32242721477615</v>
      </c>
      <c r="AI65" s="183">
        <f>INDEX(LINEST(R5:R65,'AC2'!$F5:$J65,1,1),1,1)</f>
        <v>-0.90814020705184917</v>
      </c>
      <c r="AJ65" s="183">
        <f>INDEX(LINEST(S5:S65,'AC2'!$F5:$J65,1,1),1,1)</f>
        <v>3.4184197677994889E-2</v>
      </c>
      <c r="AL65" s="343">
        <f>AL64*(1+O65+'Risk Factors'!$J65)</f>
        <v>9.2326428325088264E-2</v>
      </c>
      <c r="AM65" s="343">
        <f>AM64*(1+P65+'Risk Factors'!$J65)</f>
        <v>0.25318245406083772</v>
      </c>
      <c r="AN65" s="343">
        <f>AN64*(1+Q65+'Risk Factors'!$J65)</f>
        <v>0.22521756943399182</v>
      </c>
      <c r="AO65" s="343">
        <f>AO64*(1+R65+'Risk Factors'!$J65)</f>
        <v>0.56185968134226993</v>
      </c>
      <c r="AP65" s="343">
        <f>AP64*(1+S65+'Risk Factors'!$J65)</f>
        <v>0.28947883207062264</v>
      </c>
      <c r="AR65" s="343">
        <f t="shared" si="15"/>
        <v>6.492419867046878E-2</v>
      </c>
      <c r="AS65" s="343">
        <f t="shared" si="16"/>
        <v>0.17803859897454719</v>
      </c>
      <c r="AT65" s="343">
        <f t="shared" si="17"/>
        <v>0.1583736150880567</v>
      </c>
      <c r="AU65" s="343">
        <f t="shared" si="18"/>
        <v>0.3951012753135974</v>
      </c>
      <c r="AV65" s="343">
        <f t="shared" si="19"/>
        <v>0.20356231195332994</v>
      </c>
      <c r="AW65" s="418">
        <f t="shared" si="20"/>
        <v>1.4220649652328103</v>
      </c>
      <c r="AX65" s="343">
        <f t="shared" si="11"/>
        <v>1.8326798267317868E-2</v>
      </c>
      <c r="AZ65" s="421">
        <v>42124</v>
      </c>
      <c r="BA65" s="92">
        <f>HLOOKUP(BA$1,'AC4'!$F$1:$AC$109,ROW(),0)*'Management and Hedging'!$G$10</f>
        <v>1.9413100000000003E-2</v>
      </c>
      <c r="BB65" s="92">
        <f>HLOOKUP(BB$1,'AC4'!$F$1:$AC$109,ROW(),0)*'Management and Hedging'!$G$11</f>
        <v>7.9669570922851568E-2</v>
      </c>
      <c r="BC65" s="92">
        <f>IF('Management and Hedging'!$G$13="yes",BA65+BB65,CQ65)</f>
        <v>9.9082670922851571E-2</v>
      </c>
      <c r="BD65" s="138">
        <f>IF(IF('Management and Hedging'!$J$10="no",BL65,BO65)=0,NA(),IF('Management and Hedging'!$J$10="no",BL65,BO65))</f>
        <v>1.9434569490730895</v>
      </c>
      <c r="BE65" s="138">
        <f>IF(IF('Management and Hedging'!$J$10="no",BM65,BP65)=0,NA(),IF('Management and Hedging'!$J$10="no",BM65,BP65))</f>
        <v>-2.32242721477615</v>
      </c>
      <c r="BF65" s="138">
        <f>IF(IF('Management and Hedging'!$J$10="no",BN65,BQ65)=0,NA(),IF('Management and Hedging'!$J$10="no",BN65,BQ65))</f>
        <v>-1.4692503820063019</v>
      </c>
      <c r="BG65" s="92">
        <f>IF('Management and Hedging'!$G$13="yes",BH65+BI65,CQ65)</f>
        <v>9.9082670922851571E-2</v>
      </c>
      <c r="BH65" s="92">
        <f>HLOOKUP(BH$1,'Asset Returns'!$F$1:$ZY$109,ROW(),0)*'Management and Hedging'!$G$10</f>
        <v>1.9413100000000003E-2</v>
      </c>
      <c r="BI65" s="92">
        <f>HLOOKUP(BI$1,'Asset Returns'!$F$1:$ZY$109,ROW(),0)*'Management and Hedging'!$G$11</f>
        <v>7.9669570922851568E-2</v>
      </c>
      <c r="BJ65" s="92">
        <f>HLOOKUP(BJ$1,'AC4'!$F$1:$AC$109,ROW(),0)</f>
        <v>9.7065499999999999E-2</v>
      </c>
      <c r="BK65" s="92">
        <f>HLOOKUP(BK$1,'AC4'!$F$1:$AC$109,ROW(),0)</f>
        <v>9.9586963653564453E-2</v>
      </c>
      <c r="BL65" s="138">
        <f ca="1">'Management and Hedging'!$R$34</f>
        <v>2.5919346055080732</v>
      </c>
      <c r="BM65" s="138">
        <f ca="1">'Management and Hedging'!$R$36</f>
        <v>-2.1312105104673718</v>
      </c>
      <c r="BN65" s="138">
        <f>'Management and Hedging'!$R$38</f>
        <v>-1.1865814872722835</v>
      </c>
      <c r="BO65" s="138">
        <f>INDEX(LINEST(BJ5:BJ65,'AC2'!$F5:$J65,1,1),1,1)</f>
        <v>1.9434569490730895</v>
      </c>
      <c r="BP65" s="138">
        <f>INDEX(LINEST(BK5:BK65,'AC2'!$F5:$J65,1,1),1,1)</f>
        <v>-2.32242721477615</v>
      </c>
      <c r="BQ65" s="138">
        <f>INDEX(LINEST(BC5:BC65,'AC2'!$F5:$J65,1,1),1,1)</f>
        <v>-1.4692503820063019</v>
      </c>
      <c r="BR65" s="138"/>
      <c r="BS65" s="138"/>
      <c r="BT65" s="138"/>
      <c r="BU65" s="138"/>
      <c r="BV65" s="138"/>
      <c r="BW65" s="138"/>
      <c r="BX65" s="138"/>
      <c r="BY65" s="138"/>
      <c r="BZ65" s="138"/>
      <c r="CA65" s="138"/>
      <c r="CB65" s="138"/>
      <c r="CC65" s="138"/>
      <c r="CD65" s="138"/>
      <c r="CE65" s="138"/>
      <c r="CF65" s="138"/>
      <c r="CG65" s="138"/>
      <c r="CH65" s="138"/>
      <c r="CI65" s="138"/>
      <c r="CJ65" s="138"/>
      <c r="CK65" s="343">
        <f>CK64*(1+BA65+'Risk Factors'!$J65)</f>
        <v>0.17077761689398974</v>
      </c>
      <c r="CL65" s="343">
        <f>CL64*(1+BB65+'Risk Factors'!$J65)</f>
        <v>0.73135593909259478</v>
      </c>
      <c r="CN65" s="343">
        <f t="shared" si="9"/>
        <v>0.18930413990334857</v>
      </c>
      <c r="CO65" s="343">
        <f t="shared" si="12"/>
        <v>0.8106958600966514</v>
      </c>
      <c r="CP65" s="418">
        <f t="shared" si="10"/>
        <v>0.90213355598658451</v>
      </c>
      <c r="CQ65" s="343">
        <f t="shared" si="13"/>
        <v>6.7722213074265625E-2</v>
      </c>
      <c r="CS65" s="92"/>
      <c r="CT65" s="260"/>
      <c r="CU65" s="260"/>
      <c r="CV65" s="260"/>
      <c r="CW65" s="260"/>
      <c r="CX65" s="260"/>
      <c r="CY65" s="260"/>
      <c r="CZ65" s="260"/>
      <c r="DB65" s="325"/>
      <c r="DC65" s="92"/>
      <c r="DD65" s="92"/>
      <c r="DE65" s="260"/>
      <c r="DF65" s="260"/>
      <c r="DG65" s="260"/>
      <c r="DH65" s="260"/>
      <c r="DI65" s="260"/>
    </row>
    <row r="66" spans="6:113">
      <c r="F66" s="421">
        <v>42155</v>
      </c>
      <c r="G66" s="92">
        <f>IF(Portfolios!$G$16="yes",SUM(T66:X66),AX66)</f>
        <v>2.4184644408524036E-2</v>
      </c>
      <c r="H66" s="138">
        <f>IF(IF(Portfolios!$J$10="no",'AC3'!Y66,'AC3'!AE66)=0,NA(),IF(Portfolios!$J$10="no",Y66,AE66))</f>
        <v>-0.78202926166256637</v>
      </c>
      <c r="I66" s="138">
        <f>IF(Portfolios!$J$11="no",NA(),IF(IF(Portfolios!$J$10="no",'AC3'!Z66,'AC3'!AF66)=0,NA(),IF(Portfolios!$J$10="no",Z66,AF66)))</f>
        <v>1.2164199239358902</v>
      </c>
      <c r="J66" s="138">
        <f>IF(Portfolios!$J$11="no",NA(),IF(IF(Portfolios!$J$10="no",'AC3'!AA66,'AC3'!AG66)=0,NA(),IF(Portfolios!$J$10="no",AA66,AG66)))</f>
        <v>0.74152389058241686</v>
      </c>
      <c r="K66" s="138">
        <f>IF(Portfolios!$J$11="no",NA(),IF(IF(Portfolios!$J$10="no",'AC3'!AB66,'AC3'!AH66)=0,NA(),IF(Portfolios!$J$10="no",AB66,AH66)))</f>
        <v>-2.401914739177216</v>
      </c>
      <c r="L66" s="138">
        <f>IF(Portfolios!$J$11="no",NA(),IF(IF(Portfolios!$J$10="no",'AC3'!AC66,'AC3'!AI66)=0,NA(),IF(Portfolios!$J$10="no",AC66,AI66)))</f>
        <v>-0.87766091047988271</v>
      </c>
      <c r="M66" s="138">
        <f>IF(Portfolios!$J$11="no",NA(),IF(IF(Portfolios!$J$10="no",'AC3'!AD66,'AC3'!AJ66)=0,NA(),IF(Portfolios!$J$10="no",AD66,AJ66)))</f>
        <v>3.0245258913664027E-2</v>
      </c>
      <c r="N66" s="92">
        <f>G66-'Risk Factors'!J66</f>
        <v>2.4184644408524036E-2</v>
      </c>
      <c r="O66" s="260">
        <f>HLOOKUP(O$1,'Asset Returns'!$F$1:$N$109,ROW(),0)-'Risk Factors'!$J66</f>
        <v>-3.4306231886148453E-2</v>
      </c>
      <c r="P66" s="260">
        <f>HLOOKUP(P$1,'Asset Returns'!$F$1:$N$109,ROW(),0)-'Risk Factors'!$J66</f>
        <v>-5.7548318058252335E-2</v>
      </c>
      <c r="Q66" s="260">
        <f>HLOOKUP(Q$1,'Asset Returns'!$F$1:$N$109,ROW(),0)-'Risk Factors'!$J66</f>
        <v>0.11984679847955704</v>
      </c>
      <c r="R66" s="260">
        <f>HLOOKUP(R$1,'Asset Returns'!$F$1:$N$109,ROW(),0)-'Risk Factors'!$J66</f>
        <v>-7.2779450565576553E-3</v>
      </c>
      <c r="S66" s="260">
        <f>HLOOKUP(S$1,'Asset Returns'!$F$1:$N$109,ROW(),0)-'Risk Factors'!$J66</f>
        <v>-2.0027831196784973E-3</v>
      </c>
      <c r="T66" s="260">
        <f>HLOOKUP(T$1,'Asset Returns'!$F$1:$N$109,ROW(),0)*Portfolios!$G$10</f>
        <v>-3.4306231886148454E-3</v>
      </c>
      <c r="U66" s="260">
        <f>HLOOKUP(U$1,'Asset Returns'!$F$1:$N$109,ROW(),0)*Portfolios!$G$11</f>
        <v>-5.754831805825234E-3</v>
      </c>
      <c r="V66" s="260">
        <f>HLOOKUP(V$1,'Asset Returns'!$F$1:$N$109,ROW(),0)*Portfolios!$G$12</f>
        <v>3.5954039543867111E-2</v>
      </c>
      <c r="W66" s="260">
        <f>HLOOKUP(W$1,'Asset Returns'!$F$1:$N$109,ROW(),0)*Portfolios!$G$13</f>
        <v>-2.1833835169672963E-3</v>
      </c>
      <c r="X66" s="260">
        <f>HLOOKUP(X$1,'Asset Returns'!$F$1:$N$109,ROW(),0)*Portfolios!$G$14</f>
        <v>-4.0055662393569938E-4</v>
      </c>
      <c r="Y66" s="138">
        <f>Portfolios!$R$34</f>
        <v>-0.68211369708646341</v>
      </c>
      <c r="Z66" s="138">
        <f>Portfolios!$P$11</f>
        <v>0.9378377404978776</v>
      </c>
      <c r="AA66" s="138">
        <f>Portfolios!$P$12</f>
        <v>0.64097224418739052</v>
      </c>
      <c r="AB66" s="138">
        <f>Portfolios!$P$13</f>
        <v>-2.1312105104673718</v>
      </c>
      <c r="AC66" s="138">
        <f>Portfolios!$P$14</f>
        <v>-0.78557102570241866</v>
      </c>
      <c r="AD66" s="138">
        <f>Portfolios!$P$15</f>
        <v>0.17519882647973573</v>
      </c>
      <c r="AE66" s="183">
        <f>INDEX(LINEST(N6:N66,'AC2'!$F6:$J66,1,1),1,1)</f>
        <v>-0.78202926166256637</v>
      </c>
      <c r="AF66" s="183">
        <f>INDEX(LINEST(O6:O66,'AC2'!$F6:$J66,1,1),1,1)</f>
        <v>1.2164199239358902</v>
      </c>
      <c r="AG66" s="183">
        <f>INDEX(LINEST(P6:P66,'AC2'!$F6:$J66,1,1),1,1)</f>
        <v>0.74152389058241686</v>
      </c>
      <c r="AH66" s="183">
        <f>INDEX(LINEST(Q6:Q66,'AC2'!$F6:$J66,1,1),1,1)</f>
        <v>-2.401914739177216</v>
      </c>
      <c r="AI66" s="183">
        <f>INDEX(LINEST(R6:R66,'AC2'!$F6:$J66,1,1),1,1)</f>
        <v>-0.87766091047988271</v>
      </c>
      <c r="AJ66" s="183">
        <f>INDEX(LINEST(S6:S66,'AC2'!$F6:$J66,1,1),1,1)</f>
        <v>3.0245258913664027E-2</v>
      </c>
      <c r="AL66" s="343">
        <f>AL65*(1+O66+'Risk Factors'!$J66)</f>
        <v>8.9159056465747927E-2</v>
      </c>
      <c r="AM66" s="343">
        <f>AM65*(1+P66+'Risk Factors'!$J66)</f>
        <v>0.23861222966777579</v>
      </c>
      <c r="AN66" s="343">
        <f>AN65*(1+Q66+'Risk Factors'!$J66)</f>
        <v>0.25220917409200311</v>
      </c>
      <c r="AO66" s="343">
        <f>AO65*(1+R66+'Risk Factors'!$J66)</f>
        <v>0.55777049745196594</v>
      </c>
      <c r="AP66" s="343">
        <f>AP65*(1+S66+'Risk Factors'!$J66)</f>
        <v>0.28889906875224736</v>
      </c>
      <c r="AR66" s="343">
        <f t="shared" ref="AR66:AR97" si="21">AL66/SUM($AL66:$AP66)</f>
        <v>6.2495394675646361E-2</v>
      </c>
      <c r="AS66" s="343">
        <f t="shared" ref="AS66:AS97" si="22">AM66/SUM($AL66:$AP66)</f>
        <v>0.16725351364897409</v>
      </c>
      <c r="AT66" s="343">
        <f t="shared" ref="AT66:AT97" si="23">AN66/SUM($AL66:$AP66)</f>
        <v>0.17678419333378392</v>
      </c>
      <c r="AU66" s="343">
        <f t="shared" ref="AU66:AU97" si="24">AO66/SUM($AL66:$AP66)</f>
        <v>0.39096518916262402</v>
      </c>
      <c r="AV66" s="343">
        <f t="shared" ref="AV66:AV97" si="25">AP66/SUM($AL66:$AP66)</f>
        <v>0.20250170917897159</v>
      </c>
      <c r="AW66" s="418">
        <f t="shared" ref="AW66:AW97" si="26">SUM(AL66:AP66)</f>
        <v>1.4266500264297401</v>
      </c>
      <c r="AX66" s="343">
        <f t="shared" si="11"/>
        <v>3.224227661202006E-3</v>
      </c>
      <c r="AZ66" s="421">
        <v>42155</v>
      </c>
      <c r="BA66" s="92">
        <f>HLOOKUP(BA$1,'AC4'!$F$1:$AC$109,ROW(),0)*'Management and Hedging'!$G$10</f>
        <v>-4.1152200000000002E-3</v>
      </c>
      <c r="BB66" s="92">
        <f>HLOOKUP(BB$1,'AC4'!$F$1:$AC$109,ROW(),0)*'Management and Hedging'!$G$11</f>
        <v>9.587743878364563E-2</v>
      </c>
      <c r="BC66" s="92">
        <f>IF('Management and Hedging'!$G$13="yes",BA66+BB66,CQ66)</f>
        <v>9.1762218783645627E-2</v>
      </c>
      <c r="BD66" s="138">
        <f>IF(IF('Management and Hedging'!$J$10="no",BL66,BO66)=0,NA(),IF('Management and Hedging'!$J$10="no",BL66,BO66))</f>
        <v>1.9298235290199084</v>
      </c>
      <c r="BE66" s="138">
        <f>IF(IF('Management and Hedging'!$J$10="no",BM66,BP66)=0,NA(),IF('Management and Hedging'!$J$10="no",BM66,BP66))</f>
        <v>-2.401914739177216</v>
      </c>
      <c r="BF66" s="138">
        <f>IF(IF('Management and Hedging'!$J$10="no",BN66,BQ66)=0,NA(),IF('Management and Hedging'!$J$10="no",BN66,BQ66))</f>
        <v>-1.5355670855377908</v>
      </c>
      <c r="BG66" s="92">
        <f>IF('Management and Hedging'!$G$13="yes",BH66+BI66,CQ66)</f>
        <v>9.1762218783645627E-2</v>
      </c>
      <c r="BH66" s="92">
        <f>HLOOKUP(BH$1,'Asset Returns'!$F$1:$ZY$109,ROW(),0)*'Management and Hedging'!$G$10</f>
        <v>-4.1152200000000002E-3</v>
      </c>
      <c r="BI66" s="92">
        <f>HLOOKUP(BI$1,'Asset Returns'!$F$1:$ZY$109,ROW(),0)*'Management and Hedging'!$G$11</f>
        <v>9.587743878364563E-2</v>
      </c>
      <c r="BJ66" s="92">
        <f>HLOOKUP(BJ$1,'AC4'!$F$1:$AC$109,ROW(),0)</f>
        <v>-2.05761E-2</v>
      </c>
      <c r="BK66" s="92">
        <f>HLOOKUP(BK$1,'AC4'!$F$1:$AC$109,ROW(),0)</f>
        <v>0.11984679847955704</v>
      </c>
      <c r="BL66" s="138">
        <f ca="1">'Management and Hedging'!$R$34</f>
        <v>2.5919346055080732</v>
      </c>
      <c r="BM66" s="138">
        <f ca="1">'Management and Hedging'!$R$36</f>
        <v>-2.1312105104673718</v>
      </c>
      <c r="BN66" s="138">
        <f>'Management and Hedging'!$R$38</f>
        <v>-1.1865814872722835</v>
      </c>
      <c r="BO66" s="138">
        <f>INDEX(LINEST(BJ6:BJ66,'AC2'!$F6:$J66,1,1),1,1)</f>
        <v>1.9298235290199084</v>
      </c>
      <c r="BP66" s="138">
        <f>INDEX(LINEST(BK6:BK66,'AC2'!$F6:$J66,1,1),1,1)</f>
        <v>-2.401914739177216</v>
      </c>
      <c r="BQ66" s="138">
        <f>INDEX(LINEST(BC6:BC66,'AC2'!$F6:$J66,1,1),1,1)</f>
        <v>-1.5355670855377908</v>
      </c>
      <c r="BR66" s="138"/>
      <c r="BS66" s="138"/>
      <c r="BT66" s="138"/>
      <c r="BU66" s="138"/>
      <c r="BV66" s="138"/>
      <c r="BW66" s="138"/>
      <c r="BX66" s="138"/>
      <c r="BY66" s="138"/>
      <c r="BZ66" s="138"/>
      <c r="CA66" s="138"/>
      <c r="CB66" s="138"/>
      <c r="CC66" s="138"/>
      <c r="CD66" s="138"/>
      <c r="CE66" s="138"/>
      <c r="CF66" s="138"/>
      <c r="CG66" s="138"/>
      <c r="CH66" s="138"/>
      <c r="CI66" s="138"/>
      <c r="CJ66" s="138"/>
      <c r="CK66" s="343">
        <f>CK65*(1+BA66+'Risk Factors'!$J66)</f>
        <v>0.17007482942939525</v>
      </c>
      <c r="CL66" s="343">
        <f>CL65*(1+BB66+'Risk Factors'!$J66)</f>
        <v>0.80147647337200068</v>
      </c>
      <c r="CN66" s="343">
        <f t="shared" si="9"/>
        <v>0.17505491366127257</v>
      </c>
      <c r="CO66" s="343">
        <f t="shared" si="12"/>
        <v>0.82494508633872743</v>
      </c>
      <c r="CP66" s="418">
        <f t="shared" si="10"/>
        <v>0.9715513028013959</v>
      </c>
      <c r="CQ66" s="343">
        <f t="shared" si="13"/>
        <v>7.6948414515958463E-2</v>
      </c>
      <c r="CS66" s="92"/>
      <c r="CT66" s="260"/>
      <c r="CU66" s="260"/>
      <c r="CV66" s="260"/>
      <c r="CW66" s="260"/>
      <c r="CX66" s="260"/>
      <c r="CY66" s="260"/>
      <c r="CZ66" s="260"/>
      <c r="DB66" s="325"/>
      <c r="DC66" s="92"/>
      <c r="DD66" s="92"/>
      <c r="DE66" s="260"/>
      <c r="DF66" s="260"/>
      <c r="DG66" s="260"/>
      <c r="DH66" s="260"/>
      <c r="DI66" s="260"/>
    </row>
    <row r="67" spans="6:113">
      <c r="F67" s="421">
        <v>42185</v>
      </c>
      <c r="G67" s="92">
        <f>IF(Portfolios!$G$16="yes",SUM(T67:X67),AX67)</f>
        <v>-3.8060456328094003E-2</v>
      </c>
      <c r="H67" s="138">
        <f>IF(IF(Portfolios!$J$10="no",'AC3'!Y67,'AC3'!AE67)=0,NA(),IF(Portfolios!$J$10="no",Y67,AE67))</f>
        <v>-0.74211265682051908</v>
      </c>
      <c r="I67" s="138">
        <f>IF(Portfolios!$J$11="no",NA(),IF(IF(Portfolios!$J$10="no",'AC3'!Z67,'AC3'!AF67)=0,NA(),IF(Portfolios!$J$10="no",Z67,AF67)))</f>
        <v>1.171131519318432</v>
      </c>
      <c r="J67" s="138">
        <f>IF(Portfolios!$J$11="no",NA(),IF(IF(Portfolios!$J$10="no",'AC3'!AA67,'AC3'!AG67)=0,NA(),IF(Portfolios!$J$10="no",AA67,AG67)))</f>
        <v>0.82645730629146397</v>
      </c>
      <c r="K67" s="138">
        <f>IF(Portfolios!$J$11="no",NA(),IF(IF(Portfolios!$J$10="no",'AC3'!AB67,'AC3'!AH67)=0,NA(),IF(Portfolios!$J$10="no",AB67,AH67)))</f>
        <v>-2.339359715147205</v>
      </c>
      <c r="L67" s="138">
        <f>IF(Portfolios!$J$11="no",NA(),IF(IF(Portfolios!$J$10="no",'AC3'!AC67,'AC3'!AI67)=0,NA(),IF(Portfolios!$J$10="no",AC67,AI67)))</f>
        <v>-0.82821628112063417</v>
      </c>
      <c r="M67" s="138">
        <f>IF(Portfolios!$J$11="no",NA(),IF(IF(Portfolios!$J$10="no",'AC3'!AD67,'AC3'!AJ67)=0,NA(),IF(Portfolios!$J$10="no",AD67,AJ67)))</f>
        <v>4.2006297494215639E-2</v>
      </c>
      <c r="N67" s="92">
        <f>G67-'Risk Factors'!J67</f>
        <v>-3.8060456328094003E-2</v>
      </c>
      <c r="O67" s="260">
        <f>HLOOKUP(O$1,'Asset Returns'!$F$1:$N$109,ROW(),0)-'Risk Factors'!$J67</f>
        <v>-3.9330486208200455E-2</v>
      </c>
      <c r="P67" s="260">
        <f>HLOOKUP(P$1,'Asset Returns'!$F$1:$N$109,ROW(),0)-'Risk Factors'!$J67</f>
        <v>-9.5982633531093597E-2</v>
      </c>
      <c r="Q67" s="260">
        <f>HLOOKUP(Q$1,'Asset Returns'!$F$1:$N$109,ROW(),0)-'Risk Factors'!$J67</f>
        <v>-2.1172141656279564E-2</v>
      </c>
      <c r="R67" s="260">
        <f>HLOOKUP(R$1,'Asset Returns'!$F$1:$N$109,ROW(),0)-'Risk Factors'!$J67</f>
        <v>-3.3123351633548737E-2</v>
      </c>
      <c r="S67" s="260">
        <f>HLOOKUP(S$1,'Asset Returns'!$F$1:$N$109,ROW(),0)-'Risk Factors'!$J67</f>
        <v>-4.1202481836080551E-2</v>
      </c>
      <c r="T67" s="260">
        <f>HLOOKUP(T$1,'Asset Returns'!$F$1:$N$109,ROW(),0)*Portfolios!$G$10</f>
        <v>-3.9330486208200453E-3</v>
      </c>
      <c r="U67" s="260">
        <f>HLOOKUP(U$1,'Asset Returns'!$F$1:$N$109,ROW(),0)*Portfolios!$G$11</f>
        <v>-9.5982633531093604E-3</v>
      </c>
      <c r="V67" s="260">
        <f>HLOOKUP(V$1,'Asset Returns'!$F$1:$N$109,ROW(),0)*Portfolios!$G$12</f>
        <v>-6.3516424968838693E-3</v>
      </c>
      <c r="W67" s="260">
        <f>HLOOKUP(W$1,'Asset Returns'!$F$1:$N$109,ROW(),0)*Portfolios!$G$13</f>
        <v>-9.9370054900646213E-3</v>
      </c>
      <c r="X67" s="260">
        <f>HLOOKUP(X$1,'Asset Returns'!$F$1:$N$109,ROW(),0)*Portfolios!$G$14</f>
        <v>-8.2404963672161081E-3</v>
      </c>
      <c r="Y67" s="138">
        <f>Portfolios!$R$34</f>
        <v>-0.68211369708646341</v>
      </c>
      <c r="Z67" s="138">
        <f>Portfolios!$P$11</f>
        <v>0.9378377404978776</v>
      </c>
      <c r="AA67" s="138">
        <f>Portfolios!$P$12</f>
        <v>0.64097224418739052</v>
      </c>
      <c r="AB67" s="138">
        <f>Portfolios!$P$13</f>
        <v>-2.1312105104673718</v>
      </c>
      <c r="AC67" s="138">
        <f>Portfolios!$P$14</f>
        <v>-0.78557102570241866</v>
      </c>
      <c r="AD67" s="138">
        <f>Portfolios!$P$15</f>
        <v>0.17519882647973573</v>
      </c>
      <c r="AE67" s="183">
        <f>INDEX(LINEST(N7:N67,'AC2'!$F7:$J67,1,1),1,1)</f>
        <v>-0.74211265682051908</v>
      </c>
      <c r="AF67" s="183">
        <f>INDEX(LINEST(O7:O67,'AC2'!$F7:$J67,1,1),1,1)</f>
        <v>1.171131519318432</v>
      </c>
      <c r="AG67" s="183">
        <f>INDEX(LINEST(P7:P67,'AC2'!$F7:$J67,1,1),1,1)</f>
        <v>0.82645730629146397</v>
      </c>
      <c r="AH67" s="183">
        <f>INDEX(LINEST(Q7:Q67,'AC2'!$F7:$J67,1,1),1,1)</f>
        <v>-2.339359715147205</v>
      </c>
      <c r="AI67" s="183">
        <f>INDEX(LINEST(R7:R67,'AC2'!$F7:$J67,1,1),1,1)</f>
        <v>-0.82821628112063417</v>
      </c>
      <c r="AJ67" s="183">
        <f>INDEX(LINEST(S7:S67,'AC2'!$F7:$J67,1,1),1,1)</f>
        <v>4.2006297494215639E-2</v>
      </c>
      <c r="AL67" s="343">
        <f>AL66*(1+O67+'Risk Factors'!$J67)</f>
        <v>8.5652387425085658E-2</v>
      </c>
      <c r="AM67" s="343">
        <f>AM66*(1+P67+'Risk Factors'!$J67)</f>
        <v>0.21570959947153653</v>
      </c>
      <c r="AN67" s="343">
        <f>AN66*(1+Q67+'Risk Factors'!$J67)</f>
        <v>0.24686936573111395</v>
      </c>
      <c r="AO67" s="343">
        <f>AO66*(1+R67+'Risk Factors'!$J67)</f>
        <v>0.53929526913404502</v>
      </c>
      <c r="AP67" s="343">
        <f>AP66*(1+S67+'Risk Factors'!$J67)</f>
        <v>0.27699571011952229</v>
      </c>
      <c r="AR67" s="343">
        <f t="shared" si="21"/>
        <v>6.2770967849968731E-2</v>
      </c>
      <c r="AS67" s="343">
        <f t="shared" si="22"/>
        <v>0.15808433063468588</v>
      </c>
      <c r="AT67" s="343">
        <f t="shared" si="23"/>
        <v>0.18091998933483822</v>
      </c>
      <c r="AU67" s="343">
        <f t="shared" si="24"/>
        <v>0.3952264147927167</v>
      </c>
      <c r="AV67" s="343">
        <f t="shared" si="25"/>
        <v>0.20299829738779057</v>
      </c>
      <c r="AW67" s="418">
        <f t="shared" si="26"/>
        <v>1.3645223318813033</v>
      </c>
      <c r="AX67" s="343">
        <f t="shared" si="11"/>
        <v>-4.3547957380910218E-2</v>
      </c>
      <c r="AZ67" s="421">
        <v>42185</v>
      </c>
      <c r="BA67" s="92">
        <f>HLOOKUP(BA$1,'AC4'!$F$1:$AC$109,ROW(),0)*'Management and Hedging'!$G$10</f>
        <v>-9.2437000000000005E-3</v>
      </c>
      <c r="BB67" s="92">
        <f>HLOOKUP(BB$1,'AC4'!$F$1:$AC$109,ROW(),0)*'Management and Hedging'!$G$11</f>
        <v>-1.693771332502365E-2</v>
      </c>
      <c r="BC67" s="92">
        <f>IF('Management and Hedging'!$G$13="yes",BA67+BB67,CQ67)</f>
        <v>-2.6181413325023651E-2</v>
      </c>
      <c r="BD67" s="138">
        <f>IF(IF('Management and Hedging'!$J$10="no",BL67,BO67)=0,NA(),IF('Management and Hedging'!$J$10="no",BL67,BO67))</f>
        <v>1.9619373887969063</v>
      </c>
      <c r="BE67" s="138">
        <f>IF(IF('Management and Hedging'!$J$10="no",BM67,BP67)=0,NA(),IF('Management and Hedging'!$J$10="no",BM67,BP67))</f>
        <v>-2.339359715147205</v>
      </c>
      <c r="BF67" s="138">
        <f>IF(IF('Management and Hedging'!$J$10="no",BN67,BQ67)=0,NA(),IF('Management and Hedging'!$J$10="no",BN67,BQ67))</f>
        <v>-1.4791002943583824</v>
      </c>
      <c r="BG67" s="92">
        <f>IF('Management and Hedging'!$G$13="yes",BH67+BI67,CQ67)</f>
        <v>-2.6181413325023651E-2</v>
      </c>
      <c r="BH67" s="92">
        <f>HLOOKUP(BH$1,'Asset Returns'!$F$1:$ZY$109,ROW(),0)*'Management and Hedging'!$G$10</f>
        <v>-9.2437000000000005E-3</v>
      </c>
      <c r="BI67" s="92">
        <f>HLOOKUP(BI$1,'Asset Returns'!$F$1:$ZY$109,ROW(),0)*'Management and Hedging'!$G$11</f>
        <v>-1.693771332502365E-2</v>
      </c>
      <c r="BJ67" s="92">
        <f>HLOOKUP(BJ$1,'AC4'!$F$1:$AC$109,ROW(),0)</f>
        <v>-4.6218500000000003E-2</v>
      </c>
      <c r="BK67" s="92">
        <f>HLOOKUP(BK$1,'AC4'!$F$1:$AC$109,ROW(),0)</f>
        <v>-2.1172141656279564E-2</v>
      </c>
      <c r="BL67" s="138">
        <f ca="1">'Management and Hedging'!$R$34</f>
        <v>2.5919346055080732</v>
      </c>
      <c r="BM67" s="138">
        <f ca="1">'Management and Hedging'!$R$36</f>
        <v>-2.1312105104673718</v>
      </c>
      <c r="BN67" s="138">
        <f>'Management and Hedging'!$R$38</f>
        <v>-1.1865814872722835</v>
      </c>
      <c r="BO67" s="138">
        <f>INDEX(LINEST(BJ7:BJ67,'AC2'!$F7:$J67,1,1),1,1)</f>
        <v>1.9619373887969063</v>
      </c>
      <c r="BP67" s="138">
        <f>INDEX(LINEST(BK7:BK67,'AC2'!$F7:$J67,1,1),1,1)</f>
        <v>-2.339359715147205</v>
      </c>
      <c r="BQ67" s="138">
        <f>INDEX(LINEST(BC7:BC67,'AC2'!$F7:$J67,1,1),1,1)</f>
        <v>-1.4791002943583824</v>
      </c>
      <c r="BR67" s="138"/>
      <c r="BS67" s="138"/>
      <c r="BT67" s="138"/>
      <c r="BU67" s="138"/>
      <c r="BV67" s="138"/>
      <c r="BW67" s="138"/>
      <c r="BX67" s="138"/>
      <c r="BY67" s="138"/>
      <c r="BZ67" s="138"/>
      <c r="CA67" s="138"/>
      <c r="CB67" s="138"/>
      <c r="CC67" s="138"/>
      <c r="CD67" s="138"/>
      <c r="CE67" s="138"/>
      <c r="CF67" s="138"/>
      <c r="CG67" s="138"/>
      <c r="CH67" s="138"/>
      <c r="CI67" s="138"/>
      <c r="CJ67" s="138"/>
      <c r="CK67" s="343">
        <f>CK66*(1+BA67+'Risk Factors'!$J67)</f>
        <v>0.16850270872859877</v>
      </c>
      <c r="CL67" s="343">
        <f>CL66*(1+BB67+'Risk Factors'!$J67)</f>
        <v>0.78790129462927472</v>
      </c>
      <c r="CN67" s="343">
        <f t="shared" ref="CN67:CN109" si="27">CK67/SUM($CK67:$CL67)</f>
        <v>0.1761836087437908</v>
      </c>
      <c r="CO67" s="343">
        <f t="shared" ref="CO67:CO109" si="28">CL67/SUM($CK67:$CL67)</f>
        <v>0.8238163912562092</v>
      </c>
      <c r="CP67" s="418">
        <f t="shared" ref="CP67:CP109" si="29">SUM(CK67:CL67)</f>
        <v>0.95640400335787346</v>
      </c>
      <c r="CQ67" s="343">
        <f t="shared" si="13"/>
        <v>-1.5590838486702951E-2</v>
      </c>
      <c r="CS67" s="92"/>
      <c r="CT67" s="260"/>
      <c r="CU67" s="260"/>
      <c r="CV67" s="260"/>
      <c r="CW67" s="260"/>
      <c r="CX67" s="260"/>
      <c r="CY67" s="260"/>
      <c r="CZ67" s="260"/>
      <c r="DB67" s="325"/>
      <c r="DC67" s="92"/>
      <c r="DD67" s="92"/>
      <c r="DE67" s="260"/>
      <c r="DF67" s="260"/>
      <c r="DG67" s="260"/>
      <c r="DH67" s="260"/>
      <c r="DI67" s="260"/>
    </row>
    <row r="68" spans="6:113">
      <c r="F68" s="421">
        <v>42216</v>
      </c>
      <c r="G68" s="92">
        <f>IF(Portfolios!$G$16="yes",SUM(T68:X68),AX68)</f>
        <v>8.7476622313261004E-3</v>
      </c>
      <c r="H68" s="138">
        <f>IF(IF(Portfolios!$J$10="no",'AC3'!Y68,'AC3'!AE68)=0,NA(),IF(Portfolios!$J$10="no",Y68,AE68))</f>
        <v>-0.80587936432001506</v>
      </c>
      <c r="I68" s="138">
        <f>IF(Portfolios!$J$11="no",NA(),IF(IF(Portfolios!$J$10="no",'AC3'!Z68,'AC3'!AF68)=0,NA(),IF(Portfolios!$J$10="no",Z68,AF68)))</f>
        <v>1.0453025778094474</v>
      </c>
      <c r="J68" s="138">
        <f>IF(Portfolios!$J$11="no",NA(),IF(IF(Portfolios!$J$10="no",'AC3'!AA68,'AC3'!AG68)=0,NA(),IF(Portfolios!$J$10="no",AA68,AG68)))</f>
        <v>0.95343099174562829</v>
      </c>
      <c r="K68" s="138">
        <f>IF(Portfolios!$J$11="no",NA(),IF(IF(Portfolios!$J$10="no",'AC3'!AB68,'AC3'!AH68)=0,NA(),IF(Portfolios!$J$10="no",AB68,AH68)))</f>
        <v>-2.5508205662556032</v>
      </c>
      <c r="L68" s="138">
        <f>IF(Portfolios!$J$11="no",NA(),IF(IF(Portfolios!$J$10="no",'AC3'!AC68,'AC3'!AI68)=0,NA(),IF(Portfolios!$J$10="no",AC68,AI68)))</f>
        <v>-0.83346209296462315</v>
      </c>
      <c r="M68" s="138">
        <f>IF(Portfolios!$J$11="no",NA(),IF(IF(Portfolios!$J$10="no",'AC3'!AD68,'AC3'!AJ68)=0,NA(),IF(Portfolios!$J$10="no",AD68,AJ68)))</f>
        <v>4.7660382452725018E-2</v>
      </c>
      <c r="N68" s="92">
        <f>G68-'Risk Factors'!J68</f>
        <v>8.7476622313261004E-3</v>
      </c>
      <c r="O68" s="260">
        <f>HLOOKUP(O$1,'Asset Returns'!$F$1:$N$109,ROW(),0)-'Risk Factors'!$J68</f>
        <v>-6.6088274121284485E-2</v>
      </c>
      <c r="P68" s="260">
        <f>HLOOKUP(P$1,'Asset Returns'!$F$1:$N$109,ROW(),0)-'Risk Factors'!$J68</f>
        <v>-0.12190146744251251</v>
      </c>
      <c r="Q68" s="260">
        <f>HLOOKUP(Q$1,'Asset Returns'!$F$1:$N$109,ROW(),0)-'Risk Factors'!$J68</f>
        <v>0.10090068727731705</v>
      </c>
      <c r="R68" s="260">
        <f>HLOOKUP(R$1,'Asset Returns'!$F$1:$N$109,ROW(),0)-'Risk Factors'!$J68</f>
        <v>-6.3325567170977592E-3</v>
      </c>
      <c r="S68" s="260">
        <f>HLOOKUP(S$1,'Asset Returns'!$F$1:$N$109,ROW(),0)-'Risk Factors'!$J68</f>
        <v>-4.1190139017999172E-3</v>
      </c>
      <c r="T68" s="260">
        <f>HLOOKUP(T$1,'Asset Returns'!$F$1:$N$109,ROW(),0)*Portfolios!$G$10</f>
        <v>-6.6088274121284488E-3</v>
      </c>
      <c r="U68" s="260">
        <f>HLOOKUP(U$1,'Asset Returns'!$F$1:$N$109,ROW(),0)*Portfolios!$G$11</f>
        <v>-1.2190146744251252E-2</v>
      </c>
      <c r="V68" s="260">
        <f>HLOOKUP(V$1,'Asset Returns'!$F$1:$N$109,ROW(),0)*Portfolios!$G$12</f>
        <v>3.0270206183195113E-2</v>
      </c>
      <c r="W68" s="260">
        <f>HLOOKUP(W$1,'Asset Returns'!$F$1:$N$109,ROW(),0)*Portfolios!$G$13</f>
        <v>-1.8997670151293276E-3</v>
      </c>
      <c r="X68" s="260">
        <f>HLOOKUP(X$1,'Asset Returns'!$F$1:$N$109,ROW(),0)*Portfolios!$G$14</f>
        <v>-8.2380278035998323E-4</v>
      </c>
      <c r="Y68" s="138">
        <f>Portfolios!$R$34</f>
        <v>-0.68211369708646341</v>
      </c>
      <c r="Z68" s="138">
        <f>Portfolios!$P$11</f>
        <v>0.9378377404978776</v>
      </c>
      <c r="AA68" s="138">
        <f>Portfolios!$P$12</f>
        <v>0.64097224418739052</v>
      </c>
      <c r="AB68" s="138">
        <f>Portfolios!$P$13</f>
        <v>-2.1312105104673718</v>
      </c>
      <c r="AC68" s="138">
        <f>Portfolios!$P$14</f>
        <v>-0.78557102570241866</v>
      </c>
      <c r="AD68" s="138">
        <f>Portfolios!$P$15</f>
        <v>0.17519882647973573</v>
      </c>
      <c r="AE68" s="183">
        <f>INDEX(LINEST(N8:N68,'AC2'!$F8:$J68,1,1),1,1)</f>
        <v>-0.80587936432001506</v>
      </c>
      <c r="AF68" s="183">
        <f>INDEX(LINEST(O8:O68,'AC2'!$F8:$J68,1,1),1,1)</f>
        <v>1.0453025778094474</v>
      </c>
      <c r="AG68" s="183">
        <f>INDEX(LINEST(P8:P68,'AC2'!$F8:$J68,1,1),1,1)</f>
        <v>0.95343099174562829</v>
      </c>
      <c r="AH68" s="183">
        <f>INDEX(LINEST(Q8:Q68,'AC2'!$F8:$J68,1,1),1,1)</f>
        <v>-2.5508205662556032</v>
      </c>
      <c r="AI68" s="183">
        <f>INDEX(LINEST(R8:R68,'AC2'!$F8:$J68,1,1),1,1)</f>
        <v>-0.83346209296462315</v>
      </c>
      <c r="AJ68" s="183">
        <f>INDEX(LINEST(S8:S68,'AC2'!$F8:$J68,1,1),1,1)</f>
        <v>4.7660382452725018E-2</v>
      </c>
      <c r="AL68" s="343">
        <f>AL67*(1+O68+'Risk Factors'!$J68)</f>
        <v>7.999176896579413E-2</v>
      </c>
      <c r="AM68" s="343">
        <f>AM67*(1+P68+'Risk Factors'!$J68)</f>
        <v>0.1894142827545196</v>
      </c>
      <c r="AN68" s="343">
        <f>AN67*(1+Q68+'Risk Factors'!$J68)</f>
        <v>0.27177865440109872</v>
      </c>
      <c r="AO68" s="343">
        <f>AO67*(1+R68+'Risk Factors'!$J68)</f>
        <v>0.53588015125499122</v>
      </c>
      <c r="AP68" s="343">
        <f>AP67*(1+S68+'Risk Factors'!$J68)</f>
        <v>0.27585476093880101</v>
      </c>
      <c r="AR68" s="343">
        <f t="shared" si="21"/>
        <v>5.9125293094210683E-2</v>
      </c>
      <c r="AS68" s="343">
        <f t="shared" si="22"/>
        <v>0.1400040920320143</v>
      </c>
      <c r="AT68" s="343">
        <f t="shared" si="23"/>
        <v>0.2008830759210555</v>
      </c>
      <c r="AU68" s="343">
        <f t="shared" si="24"/>
        <v>0.3960916406270496</v>
      </c>
      <c r="AV68" s="343">
        <f t="shared" si="25"/>
        <v>0.20389589832566982</v>
      </c>
      <c r="AW68" s="418">
        <f t="shared" si="26"/>
        <v>1.3529196183152048</v>
      </c>
      <c r="AX68" s="343">
        <f t="shared" ref="AX68:AX109" si="30">AW68/AW67-1</f>
        <v>-8.5031320448244463E-3</v>
      </c>
      <c r="AZ68" s="421">
        <v>42216</v>
      </c>
      <c r="BA68" s="92">
        <f>HLOOKUP(BA$1,'AC4'!$F$1:$AC$109,ROW(),0)*'Management and Hedging'!$G$10</f>
        <v>-2.5110140000000003E-2</v>
      </c>
      <c r="BB68" s="92">
        <f>HLOOKUP(BB$1,'AC4'!$F$1:$AC$109,ROW(),0)*'Management and Hedging'!$G$11</f>
        <v>8.0720549821853643E-2</v>
      </c>
      <c r="BC68" s="92">
        <f>IF('Management and Hedging'!$G$13="yes",BA68+BB68,CQ68)</f>
        <v>5.561040982185364E-2</v>
      </c>
      <c r="BD68" s="138">
        <f>IF(IF('Management and Hedging'!$J$10="no",BL68,BO68)=0,NA(),IF('Management and Hedging'!$J$10="no",BL68,BO68))</f>
        <v>1.9895671518570586</v>
      </c>
      <c r="BE68" s="138">
        <f>IF(IF('Management and Hedging'!$J$10="no",BM68,BP68)=0,NA(),IF('Management and Hedging'!$J$10="no",BM68,BP68))</f>
        <v>-2.5508205662556032</v>
      </c>
      <c r="BF68" s="138">
        <f>IF(IF('Management and Hedging'!$J$10="no",BN68,BQ68)=0,NA(),IF('Management and Hedging'!$J$10="no",BN68,BQ68))</f>
        <v>-1.642743022633071</v>
      </c>
      <c r="BG68" s="92">
        <f>IF('Management and Hedging'!$G$13="yes",BH68+BI68,CQ68)</f>
        <v>5.561040982185364E-2</v>
      </c>
      <c r="BH68" s="92">
        <f>HLOOKUP(BH$1,'Asset Returns'!$F$1:$ZY$109,ROW(),0)*'Management and Hedging'!$G$10</f>
        <v>-2.5110140000000003E-2</v>
      </c>
      <c r="BI68" s="92">
        <f>HLOOKUP(BI$1,'Asset Returns'!$F$1:$ZY$109,ROW(),0)*'Management and Hedging'!$G$11</f>
        <v>8.0720549821853643E-2</v>
      </c>
      <c r="BJ68" s="92">
        <f>HLOOKUP(BJ$1,'AC4'!$F$1:$AC$109,ROW(),0)</f>
        <v>-0.12555070000000002</v>
      </c>
      <c r="BK68" s="92">
        <f>HLOOKUP(BK$1,'AC4'!$F$1:$AC$109,ROW(),0)</f>
        <v>0.10090068727731705</v>
      </c>
      <c r="BL68" s="138">
        <f ca="1">'Management and Hedging'!$R$34</f>
        <v>2.5919346055080732</v>
      </c>
      <c r="BM68" s="138">
        <f ca="1">'Management and Hedging'!$R$36</f>
        <v>-2.1312105104673718</v>
      </c>
      <c r="BN68" s="138">
        <f>'Management and Hedging'!$R$38</f>
        <v>-1.1865814872722835</v>
      </c>
      <c r="BO68" s="138">
        <f>INDEX(LINEST(BJ8:BJ68,'AC2'!$F8:$J68,1,1),1,1)</f>
        <v>1.9895671518570586</v>
      </c>
      <c r="BP68" s="138">
        <f>INDEX(LINEST(BK8:BK68,'AC2'!$F8:$J68,1,1),1,1)</f>
        <v>-2.5508205662556032</v>
      </c>
      <c r="BQ68" s="138">
        <f>INDEX(LINEST(BC8:BC68,'AC2'!$F8:$J68,1,1),1,1)</f>
        <v>-1.642743022633071</v>
      </c>
      <c r="BR68" s="138"/>
      <c r="BS68" s="138"/>
      <c r="BT68" s="138"/>
      <c r="BU68" s="138"/>
      <c r="BV68" s="138"/>
      <c r="BW68" s="138"/>
      <c r="BX68" s="138"/>
      <c r="BY68" s="138"/>
      <c r="BZ68" s="138"/>
      <c r="CA68" s="138"/>
      <c r="CB68" s="138"/>
      <c r="CC68" s="138"/>
      <c r="CD68" s="138"/>
      <c r="CE68" s="138"/>
      <c r="CF68" s="138"/>
      <c r="CG68" s="138"/>
      <c r="CH68" s="138"/>
      <c r="CI68" s="138"/>
      <c r="CJ68" s="138"/>
      <c r="CK68" s="343">
        <f>CK67*(1+BA68+'Risk Factors'!$J68)</f>
        <v>0.16427158212204443</v>
      </c>
      <c r="CL68" s="343">
        <f>CL67*(1+BB68+'Risk Factors'!$J68)</f>
        <v>0.85150112033710013</v>
      </c>
      <c r="CN68" s="343">
        <f t="shared" si="27"/>
        <v>0.16172080793700164</v>
      </c>
      <c r="CO68" s="343">
        <f t="shared" si="28"/>
        <v>0.83827919206299839</v>
      </c>
      <c r="CP68" s="418">
        <f t="shared" si="29"/>
        <v>1.0157727024591445</v>
      </c>
      <c r="CQ68" s="343">
        <f t="shared" ref="CQ68:CQ109" si="31">CP68/CP67-1</f>
        <v>6.2074916973194671E-2</v>
      </c>
      <c r="CS68" s="92"/>
      <c r="CT68" s="260"/>
      <c r="CU68" s="260"/>
      <c r="CV68" s="260"/>
      <c r="CW68" s="260"/>
      <c r="CX68" s="260"/>
      <c r="CY68" s="260"/>
      <c r="CZ68" s="260"/>
      <c r="DB68" s="325"/>
      <c r="DC68" s="92"/>
      <c r="DD68" s="92"/>
      <c r="DE68" s="260"/>
      <c r="DF68" s="260"/>
      <c r="DG68" s="260"/>
      <c r="DH68" s="260"/>
      <c r="DI68" s="260"/>
    </row>
    <row r="69" spans="6:113">
      <c r="F69" s="421">
        <v>42247</v>
      </c>
      <c r="G69" s="92">
        <f>IF(Portfolios!$G$16="yes",SUM(T69:X69),AX69)</f>
        <v>-8.0218501947820181E-2</v>
      </c>
      <c r="H69" s="138">
        <f>IF(IF(Portfolios!$J$10="no",'AC3'!Y69,'AC3'!AE69)=0,NA(),IF(Portfolios!$J$10="no",Y69,AE69))</f>
        <v>-0.82138803757795276</v>
      </c>
      <c r="I69" s="138">
        <f>IF(Portfolios!$J$11="no",NA(),IF(IF(Portfolios!$J$10="no",'AC3'!Z69,'AC3'!AF69)=0,NA(),IF(Portfolios!$J$10="no",Z69,AF69)))</f>
        <v>0.84393144516405538</v>
      </c>
      <c r="J69" s="138">
        <f>IF(Portfolios!$J$11="no",NA(),IF(IF(Portfolios!$J$10="no",'AC3'!AA69,'AC3'!AG69)=0,NA(),IF(Portfolios!$J$10="no",AA69,AG69)))</f>
        <v>1.0068442466222634</v>
      </c>
      <c r="K69" s="138">
        <f>IF(Portfolios!$J$11="no",NA(),IF(IF(Portfolios!$J$10="no",'AC3'!AB69,'AC3'!AH69)=0,NA(),IF(Portfolios!$J$10="no",AB69,AH69)))</f>
        <v>-2.642429928610794</v>
      </c>
      <c r="L69" s="138">
        <f>IF(Portfolios!$J$11="no",NA(),IF(IF(Portfolios!$J$10="no",'AC3'!AC69,'AC3'!AI69)=0,NA(),IF(Portfolios!$J$10="no",AC69,AI69)))</f>
        <v>-0.76759932809143183</v>
      </c>
      <c r="M69" s="138">
        <f>IF(Portfolios!$J$11="no",NA(),IF(IF(Portfolios!$J$10="no",'AC3'!AD69,'AC3'!AJ69)=0,NA(),IF(Portfolios!$J$10="no",AD69,AJ69)))</f>
        <v>8.2715851270411131E-2</v>
      </c>
      <c r="N69" s="92">
        <f>G69-'Risk Factors'!J69</f>
        <v>-8.0218501947820181E-2</v>
      </c>
      <c r="O69" s="260">
        <f>HLOOKUP(O$1,'Asset Returns'!$F$1:$N$109,ROW(),0)-'Risk Factors'!$J69</f>
        <v>-8.6177043616771698E-2</v>
      </c>
      <c r="P69" s="260">
        <f>HLOOKUP(P$1,'Asset Returns'!$F$1:$N$109,ROW(),0)-'Risk Factors'!$J69</f>
        <v>-0.14526346325874329</v>
      </c>
      <c r="Q69" s="260">
        <f>HLOOKUP(Q$1,'Asset Returns'!$F$1:$N$109,ROW(),0)-'Risk Factors'!$J69</f>
        <v>-2.8210649266839027E-2</v>
      </c>
      <c r="R69" s="260">
        <f>HLOOKUP(R$1,'Asset Returns'!$F$1:$N$109,ROW(),0)-'Risk Factors'!$J69</f>
        <v>-0.10907085239887238</v>
      </c>
      <c r="S69" s="260">
        <f>HLOOKUP(S$1,'Asset Returns'!$F$1:$N$109,ROW(),0)-'Risk Factors'!$J69</f>
        <v>-7.9450003802776337E-2</v>
      </c>
      <c r="T69" s="260">
        <f>HLOOKUP(T$1,'Asset Returns'!$F$1:$N$109,ROW(),0)*Portfolios!$G$10</f>
        <v>-8.6177043616771695E-3</v>
      </c>
      <c r="U69" s="260">
        <f>HLOOKUP(U$1,'Asset Returns'!$F$1:$N$109,ROW(),0)*Portfolios!$G$11</f>
        <v>-1.452634632587433E-2</v>
      </c>
      <c r="V69" s="260">
        <f>HLOOKUP(V$1,'Asset Returns'!$F$1:$N$109,ROW(),0)*Portfolios!$G$12</f>
        <v>-8.4631947800517075E-3</v>
      </c>
      <c r="W69" s="260">
        <f>HLOOKUP(W$1,'Asset Returns'!$F$1:$N$109,ROW(),0)*Portfolios!$G$13</f>
        <v>-3.272125571966171E-2</v>
      </c>
      <c r="X69" s="260">
        <f>HLOOKUP(X$1,'Asset Returns'!$F$1:$N$109,ROW(),0)*Portfolios!$G$14</f>
        <v>-1.5890000760555262E-2</v>
      </c>
      <c r="Y69" s="138">
        <f>Portfolios!$R$34</f>
        <v>-0.68211369708646341</v>
      </c>
      <c r="Z69" s="138">
        <f>Portfolios!$P$11</f>
        <v>0.9378377404978776</v>
      </c>
      <c r="AA69" s="138">
        <f>Portfolios!$P$12</f>
        <v>0.64097224418739052</v>
      </c>
      <c r="AB69" s="138">
        <f>Portfolios!$P$13</f>
        <v>-2.1312105104673718</v>
      </c>
      <c r="AC69" s="138">
        <f>Portfolios!$P$14</f>
        <v>-0.78557102570241866</v>
      </c>
      <c r="AD69" s="138">
        <f>Portfolios!$P$15</f>
        <v>0.17519882647973573</v>
      </c>
      <c r="AE69" s="183">
        <f>INDEX(LINEST(N9:N69,'AC2'!$F9:$J69,1,1),1,1)</f>
        <v>-0.82138803757795276</v>
      </c>
      <c r="AF69" s="183">
        <f>INDEX(LINEST(O9:O69,'AC2'!$F9:$J69,1,1),1,1)</f>
        <v>0.84393144516405538</v>
      </c>
      <c r="AG69" s="183">
        <f>INDEX(LINEST(P9:P69,'AC2'!$F9:$J69,1,1),1,1)</f>
        <v>1.0068442466222634</v>
      </c>
      <c r="AH69" s="183">
        <f>INDEX(LINEST(Q9:Q69,'AC2'!$F9:$J69,1,1),1,1)</f>
        <v>-2.642429928610794</v>
      </c>
      <c r="AI69" s="183">
        <f>INDEX(LINEST(R9:R69,'AC2'!$F9:$J69,1,1),1,1)</f>
        <v>-0.76759932809143183</v>
      </c>
      <c r="AJ69" s="183">
        <f>INDEX(LINEST(S9:S69,'AC2'!$F9:$J69,1,1),1,1)</f>
        <v>8.2715851270411131E-2</v>
      </c>
      <c r="AL69" s="343">
        <f>AL68*(1+O69+'Risk Factors'!$J69)</f>
        <v>7.3098314802646169E-2</v>
      </c>
      <c r="AM69" s="343">
        <f>AM68*(1+P69+'Risk Factors'!$J69)</f>
        <v>0.16189930805092723</v>
      </c>
      <c r="AN69" s="343">
        <f>AN68*(1+Q69+'Risk Factors'!$J69)</f>
        <v>0.26411160210357587</v>
      </c>
      <c r="AO69" s="343">
        <f>AO68*(1+R69+'Risk Factors'!$J69)</f>
        <v>0.47743124637397266</v>
      </c>
      <c r="AP69" s="343">
        <f>AP68*(1+S69+'Risk Factors'!$J69)</f>
        <v>0.25393809913319931</v>
      </c>
      <c r="AR69" s="343">
        <f t="shared" si="21"/>
        <v>5.9406410283977973E-2</v>
      </c>
      <c r="AS69" s="343">
        <f t="shared" si="22"/>
        <v>0.1315742605658175</v>
      </c>
      <c r="AT69" s="343">
        <f t="shared" si="23"/>
        <v>0.21464136673580045</v>
      </c>
      <c r="AU69" s="343">
        <f t="shared" si="24"/>
        <v>0.38800451940728548</v>
      </c>
      <c r="AV69" s="343">
        <f t="shared" si="25"/>
        <v>0.20637344300711855</v>
      </c>
      <c r="AW69" s="418">
        <f t="shared" si="26"/>
        <v>1.2304785704643213</v>
      </c>
      <c r="AX69" s="343">
        <f t="shared" si="30"/>
        <v>-9.0501347007858279E-2</v>
      </c>
      <c r="AZ69" s="421">
        <v>42247</v>
      </c>
      <c r="BA69" s="92">
        <f>HLOOKUP(BA$1,'AC4'!$F$1:$AC$109,ROW(),0)*'Management and Hedging'!$G$10</f>
        <v>3.0226799999999998E-3</v>
      </c>
      <c r="BB69" s="92">
        <f>HLOOKUP(BB$1,'AC4'!$F$1:$AC$109,ROW(),0)*'Management and Hedging'!$G$11</f>
        <v>-2.2568519413471225E-2</v>
      </c>
      <c r="BC69" s="92">
        <f>IF('Management and Hedging'!$G$13="yes",BA69+BB69,CQ69)</f>
        <v>-1.9545839413471225E-2</v>
      </c>
      <c r="BD69" s="138">
        <f>IF(IF('Management and Hedging'!$J$10="no",BL69,BO69)=0,NA(),IF('Management and Hedging'!$J$10="no",BL69,BO69))</f>
        <v>2.0278393058230395</v>
      </c>
      <c r="BE69" s="138">
        <f>IF(IF('Management and Hedging'!$J$10="no",BM69,BP69)=0,NA(),IF('Management and Hedging'!$J$10="no",BM69,BP69))</f>
        <v>-2.642429928610794</v>
      </c>
      <c r="BF69" s="138">
        <f>IF(IF('Management and Hedging'!$J$10="no",BN69,BQ69)=0,NA(),IF('Management and Hedging'!$J$10="no",BN69,BQ69))</f>
        <v>-1.7083760817240254</v>
      </c>
      <c r="BG69" s="92">
        <f>IF('Management and Hedging'!$G$13="yes",BH69+BI69,CQ69)</f>
        <v>-1.9545839413471225E-2</v>
      </c>
      <c r="BH69" s="92">
        <f>HLOOKUP(BH$1,'Asset Returns'!$F$1:$ZY$109,ROW(),0)*'Management and Hedging'!$G$10</f>
        <v>3.0226799999999998E-3</v>
      </c>
      <c r="BI69" s="92">
        <f>HLOOKUP(BI$1,'Asset Returns'!$F$1:$ZY$109,ROW(),0)*'Management and Hedging'!$G$11</f>
        <v>-2.2568519413471225E-2</v>
      </c>
      <c r="BJ69" s="92">
        <f>HLOOKUP(BJ$1,'AC4'!$F$1:$AC$109,ROW(),0)</f>
        <v>1.5113399999999999E-2</v>
      </c>
      <c r="BK69" s="92">
        <f>HLOOKUP(BK$1,'AC4'!$F$1:$AC$109,ROW(),0)</f>
        <v>-2.8210649266839027E-2</v>
      </c>
      <c r="BL69" s="138">
        <f ca="1">'Management and Hedging'!$R$34</f>
        <v>2.5919346055080732</v>
      </c>
      <c r="BM69" s="138">
        <f ca="1">'Management and Hedging'!$R$36</f>
        <v>-2.1312105104673718</v>
      </c>
      <c r="BN69" s="138">
        <f>'Management and Hedging'!$R$38</f>
        <v>-1.1865814872722835</v>
      </c>
      <c r="BO69" s="138">
        <f>INDEX(LINEST(BJ9:BJ69,'AC2'!$F9:$J69,1,1),1,1)</f>
        <v>2.0278393058230395</v>
      </c>
      <c r="BP69" s="138">
        <f>INDEX(LINEST(BK9:BK69,'AC2'!$F9:$J69,1,1),1,1)</f>
        <v>-2.642429928610794</v>
      </c>
      <c r="BQ69" s="138">
        <f>INDEX(LINEST(BC9:BC69,'AC2'!$F9:$J69,1,1),1,1)</f>
        <v>-1.7083760817240254</v>
      </c>
      <c r="BR69" s="138"/>
      <c r="BS69" s="138"/>
      <c r="BT69" s="138"/>
      <c r="BU69" s="138"/>
      <c r="BV69" s="138"/>
      <c r="BW69" s="138"/>
      <c r="BX69" s="138"/>
      <c r="BY69" s="138"/>
      <c r="BZ69" s="138"/>
      <c r="CA69" s="138"/>
      <c r="CB69" s="138"/>
      <c r="CC69" s="138"/>
      <c r="CD69" s="138"/>
      <c r="CE69" s="138"/>
      <c r="CF69" s="138"/>
      <c r="CG69" s="138"/>
      <c r="CH69" s="138"/>
      <c r="CI69" s="138"/>
      <c r="CJ69" s="138"/>
      <c r="CK69" s="343">
        <f>CK68*(1+BA69+'Risk Factors'!$J69)</f>
        <v>0.16476812254789308</v>
      </c>
      <c r="CL69" s="343">
        <f>CL68*(1+BB69+'Risk Factors'!$J69)</f>
        <v>0.83228400077217979</v>
      </c>
      <c r="CN69" s="343">
        <f t="shared" si="27"/>
        <v>0.16525527471847062</v>
      </c>
      <c r="CO69" s="343">
        <f t="shared" si="28"/>
        <v>0.83474472528152943</v>
      </c>
      <c r="CP69" s="418">
        <f t="shared" si="29"/>
        <v>0.99705212332007287</v>
      </c>
      <c r="CQ69" s="343">
        <f t="shared" si="31"/>
        <v>-1.8429889968247681E-2</v>
      </c>
      <c r="CS69" s="92"/>
      <c r="CT69" s="260"/>
      <c r="CU69" s="260"/>
      <c r="CV69" s="260"/>
      <c r="CW69" s="260"/>
      <c r="CX69" s="260"/>
      <c r="CY69" s="260"/>
      <c r="CZ69" s="260"/>
      <c r="DB69" s="325"/>
      <c r="DC69" s="92"/>
      <c r="DD69" s="92"/>
      <c r="DE69" s="260"/>
      <c r="DF69" s="260"/>
      <c r="DG69" s="260"/>
      <c r="DH69" s="260"/>
      <c r="DI69" s="260"/>
    </row>
    <row r="70" spans="6:113">
      <c r="F70" s="421">
        <v>42277</v>
      </c>
      <c r="G70" s="92">
        <f>IF(Portfolios!$G$16="yes",SUM(T70:X70),AX70)</f>
        <v>-3.38767543900758E-2</v>
      </c>
      <c r="H70" s="138">
        <f>IF(IF(Portfolios!$J$10="no",'AC3'!Y70,'AC3'!AE70)=0,NA(),IF(Portfolios!$J$10="no",Y70,AE70))</f>
        <v>-0.83961196346204048</v>
      </c>
      <c r="I70" s="138">
        <f>IF(Portfolios!$J$11="no",NA(),IF(IF(Portfolios!$J$10="no",'AC3'!Z70,'AC3'!AF70)=0,NA(),IF(Portfolios!$J$10="no",Z70,AF70)))</f>
        <v>0.91661295228229267</v>
      </c>
      <c r="J70" s="138">
        <f>IF(Portfolios!$J$11="no",NA(),IF(IF(Portfolios!$J$10="no",'AC3'!AA70,'AC3'!AG70)=0,NA(),IF(Portfolios!$J$10="no",AA70,AG70)))</f>
        <v>0.57862025395424332</v>
      </c>
      <c r="K70" s="138">
        <f>IF(Portfolios!$J$11="no",NA(),IF(IF(Portfolios!$J$10="no",'AC3'!AB70,'AC3'!AH70)=0,NA(),IF(Portfolios!$J$10="no",AB70,AH70)))</f>
        <v>-2.5521181733758476</v>
      </c>
      <c r="L70" s="138">
        <f>IF(Portfolios!$J$11="no",NA(),IF(IF(Portfolios!$J$10="no",'AC3'!AC70,'AC3'!AI70)=0,NA(),IF(Portfolios!$J$10="no",AC70,AI70)))</f>
        <v>-0.81040894080181503</v>
      </c>
      <c r="M70" s="138">
        <f>IF(Portfolios!$J$11="no",NA(),IF(IF(Portfolios!$J$10="no",'AC3'!AD70,'AC3'!AJ70)=0,NA(),IF(Portfolios!$J$10="no",AD70,AJ70)))</f>
        <v>9.8114250838025413E-2</v>
      </c>
      <c r="N70" s="92">
        <f>G70-'Risk Factors'!J70</f>
        <v>-3.38767543900758E-2</v>
      </c>
      <c r="O70" s="260">
        <f>HLOOKUP(O$1,'Asset Returns'!$F$1:$N$109,ROW(),0)-'Risk Factors'!$J70</f>
        <v>-8.7501026690006256E-2</v>
      </c>
      <c r="P70" s="260">
        <f>HLOOKUP(P$1,'Asset Returns'!$F$1:$N$109,ROW(),0)-'Risk Factors'!$J70</f>
        <v>-0.11098580807447433</v>
      </c>
      <c r="Q70" s="260">
        <f>HLOOKUP(Q$1,'Asset Returns'!$F$1:$N$109,ROW(),0)-'Risk Factors'!$J70</f>
        <v>-2.8273506090044975E-2</v>
      </c>
      <c r="R70" s="260">
        <f>HLOOKUP(R$1,'Asset Returns'!$F$1:$N$109,ROW(),0)-'Risk Factors'!$J70</f>
        <v>-5.3237895481288433E-3</v>
      </c>
      <c r="S70" s="260">
        <f>HLOOKUP(S$1,'Asset Returns'!$F$1:$N$109,ROW(),0)-'Risk Factors'!$J70</f>
        <v>-1.9744411110877991E-2</v>
      </c>
      <c r="T70" s="260">
        <f>HLOOKUP(T$1,'Asset Returns'!$F$1:$N$109,ROW(),0)*Portfolios!$G$10</f>
        <v>-8.7501026690006267E-3</v>
      </c>
      <c r="U70" s="260">
        <f>HLOOKUP(U$1,'Asset Returns'!$F$1:$N$109,ROW(),0)*Portfolios!$G$11</f>
        <v>-1.1098580807447434E-2</v>
      </c>
      <c r="V70" s="260">
        <f>HLOOKUP(V$1,'Asset Returns'!$F$1:$N$109,ROW(),0)*Portfolios!$G$12</f>
        <v>-8.4820518270134915E-3</v>
      </c>
      <c r="W70" s="260">
        <f>HLOOKUP(W$1,'Asset Returns'!$F$1:$N$109,ROW(),0)*Portfolios!$G$13</f>
        <v>-1.5971368644386529E-3</v>
      </c>
      <c r="X70" s="260">
        <f>HLOOKUP(X$1,'Asset Returns'!$F$1:$N$109,ROW(),0)*Portfolios!$G$14</f>
        <v>-3.9488822221755973E-3</v>
      </c>
      <c r="Y70" s="138">
        <f>Portfolios!$R$34</f>
        <v>-0.68211369708646341</v>
      </c>
      <c r="Z70" s="138">
        <f>Portfolios!$P$11</f>
        <v>0.9378377404978776</v>
      </c>
      <c r="AA70" s="138">
        <f>Portfolios!$P$12</f>
        <v>0.64097224418739052</v>
      </c>
      <c r="AB70" s="138">
        <f>Portfolios!$P$13</f>
        <v>-2.1312105104673718</v>
      </c>
      <c r="AC70" s="138">
        <f>Portfolios!$P$14</f>
        <v>-0.78557102570241866</v>
      </c>
      <c r="AD70" s="138">
        <f>Portfolios!$P$15</f>
        <v>0.17519882647973573</v>
      </c>
      <c r="AE70" s="183">
        <f>INDEX(LINEST(N10:N70,'AC2'!$F10:$J70,1,1),1,1)</f>
        <v>-0.83961196346204048</v>
      </c>
      <c r="AF70" s="183">
        <f>INDEX(LINEST(O10:O70,'AC2'!$F10:$J70,1,1),1,1)</f>
        <v>0.91661295228229267</v>
      </c>
      <c r="AG70" s="183">
        <f>INDEX(LINEST(P10:P70,'AC2'!$F10:$J70,1,1),1,1)</f>
        <v>0.57862025395424332</v>
      </c>
      <c r="AH70" s="183">
        <f>INDEX(LINEST(Q10:Q70,'AC2'!$F10:$J70,1,1),1,1)</f>
        <v>-2.5521181733758476</v>
      </c>
      <c r="AI70" s="183">
        <f>INDEX(LINEST(R10:R70,'AC2'!$F10:$J70,1,1),1,1)</f>
        <v>-0.81040894080181503</v>
      </c>
      <c r="AJ70" s="183">
        <f>INDEX(LINEST(S10:S70,'AC2'!$F10:$J70,1,1),1,1)</f>
        <v>9.8114250838025413E-2</v>
      </c>
      <c r="AL70" s="343">
        <f>AL69*(1+O70+'Risk Factors'!$J70)</f>
        <v>6.6702137208105347E-2</v>
      </c>
      <c r="AM70" s="343">
        <f>AM69*(1+P70+'Risk Factors'!$J70)</f>
        <v>0.14393078252019681</v>
      </c>
      <c r="AN70" s="343">
        <f>AN69*(1+Q70+'Risk Factors'!$J70)</f>
        <v>0.2566442411130489</v>
      </c>
      <c r="AO70" s="343">
        <f>AO69*(1+R70+'Risk Factors'!$J70)</f>
        <v>0.47488950289457676</v>
      </c>
      <c r="AP70" s="343">
        <f>AP69*(1+S70+'Risk Factors'!$J70)</f>
        <v>0.24892424090719853</v>
      </c>
      <c r="AR70" s="343">
        <f t="shared" si="21"/>
        <v>5.6000878646697907E-2</v>
      </c>
      <c r="AS70" s="343">
        <f t="shared" si="22"/>
        <v>0.1208394606651129</v>
      </c>
      <c r="AT70" s="343">
        <f t="shared" si="23"/>
        <v>0.21546990251759535</v>
      </c>
      <c r="AU70" s="343">
        <f t="shared" si="24"/>
        <v>0.3987013090632765</v>
      </c>
      <c r="AV70" s="343">
        <f t="shared" si="25"/>
        <v>0.20898844910731729</v>
      </c>
      <c r="AW70" s="418">
        <f t="shared" si="26"/>
        <v>1.1910909046431264</v>
      </c>
      <c r="AX70" s="343">
        <f t="shared" si="30"/>
        <v>-3.2010038018241982E-2</v>
      </c>
      <c r="AZ70" s="421">
        <v>42277</v>
      </c>
      <c r="BA70" s="92">
        <f>HLOOKUP(BA$1,'AC4'!$F$1:$AC$109,ROW(),0)*'Management and Hedging'!$G$10</f>
        <v>-5.9553399999999999E-3</v>
      </c>
      <c r="BB70" s="92">
        <f>HLOOKUP(BB$1,'AC4'!$F$1:$AC$109,ROW(),0)*'Management and Hedging'!$G$11</f>
        <v>-2.2618804872035981E-2</v>
      </c>
      <c r="BC70" s="92">
        <f>IF('Management and Hedging'!$G$13="yes",BA70+BB70,CQ70)</f>
        <v>-2.8574144872035981E-2</v>
      </c>
      <c r="BD70" s="138">
        <f>IF(IF('Management and Hedging'!$J$10="no",BL70,BO70)=0,NA(),IF('Management and Hedging'!$J$10="no",BL70,BO70))</f>
        <v>1.9086185477700213</v>
      </c>
      <c r="BE70" s="138">
        <f>IF(IF('Management and Hedging'!$J$10="no",BM70,BP70)=0,NA(),IF('Management and Hedging'!$J$10="no",BM70,BP70))</f>
        <v>-2.5521181733758476</v>
      </c>
      <c r="BF70" s="138">
        <f>IF(IF('Management and Hedging'!$J$10="no",BN70,BQ70)=0,NA(),IF('Management and Hedging'!$J$10="no",BN70,BQ70))</f>
        <v>-1.6599708291466742</v>
      </c>
      <c r="BG70" s="92">
        <f>IF('Management and Hedging'!$G$13="yes",BH70+BI70,CQ70)</f>
        <v>-2.8574144872035981E-2</v>
      </c>
      <c r="BH70" s="92">
        <f>HLOOKUP(BH$1,'Asset Returns'!$F$1:$ZY$109,ROW(),0)*'Management and Hedging'!$G$10</f>
        <v>-5.9553399999999999E-3</v>
      </c>
      <c r="BI70" s="92">
        <f>HLOOKUP(BI$1,'Asset Returns'!$F$1:$ZY$109,ROW(),0)*'Management and Hedging'!$G$11</f>
        <v>-2.2618804872035981E-2</v>
      </c>
      <c r="BJ70" s="92">
        <f>HLOOKUP(BJ$1,'AC4'!$F$1:$AC$109,ROW(),0)</f>
        <v>-2.97767E-2</v>
      </c>
      <c r="BK70" s="92">
        <f>HLOOKUP(BK$1,'AC4'!$F$1:$AC$109,ROW(),0)</f>
        <v>-2.8273506090044975E-2</v>
      </c>
      <c r="BL70" s="138">
        <f ca="1">'Management and Hedging'!$R$34</f>
        <v>2.5919346055080732</v>
      </c>
      <c r="BM70" s="138">
        <f ca="1">'Management and Hedging'!$R$36</f>
        <v>-2.1312105104673718</v>
      </c>
      <c r="BN70" s="138">
        <f>'Management and Hedging'!$R$38</f>
        <v>-1.1865814872722835</v>
      </c>
      <c r="BO70" s="138">
        <f>INDEX(LINEST(BJ10:BJ70,'AC2'!$F10:$J70,1,1),1,1)</f>
        <v>1.9086185477700213</v>
      </c>
      <c r="BP70" s="138">
        <f>INDEX(LINEST(BK10:BK70,'AC2'!$F10:$J70,1,1),1,1)</f>
        <v>-2.5521181733758476</v>
      </c>
      <c r="BQ70" s="138">
        <f>INDEX(LINEST(BC10:BC70,'AC2'!$F10:$J70,1,1),1,1)</f>
        <v>-1.6599708291466742</v>
      </c>
      <c r="BR70" s="138"/>
      <c r="BS70" s="138"/>
      <c r="BT70" s="138"/>
      <c r="BU70" s="138"/>
      <c r="BV70" s="138"/>
      <c r="BW70" s="138"/>
      <c r="BX70" s="138"/>
      <c r="BY70" s="138"/>
      <c r="BZ70" s="138"/>
      <c r="CA70" s="138"/>
      <c r="CB70" s="138"/>
      <c r="CC70" s="138"/>
      <c r="CD70" s="138"/>
      <c r="CE70" s="138"/>
      <c r="CF70" s="138"/>
      <c r="CG70" s="138"/>
      <c r="CH70" s="138"/>
      <c r="CI70" s="138"/>
      <c r="CJ70" s="138"/>
      <c r="CK70" s="343">
        <f>CK69*(1+BA70+'Risk Factors'!$J70)</f>
        <v>0.16378687235695871</v>
      </c>
      <c r="CL70" s="343">
        <f>CL69*(1+BB70+'Risk Factors'!$J70)</f>
        <v>0.81345873136059643</v>
      </c>
      <c r="CN70" s="343">
        <f t="shared" si="27"/>
        <v>0.16760052102961071</v>
      </c>
      <c r="CO70" s="343">
        <f t="shared" si="28"/>
        <v>0.83239947897038924</v>
      </c>
      <c r="CP70" s="418">
        <f t="shared" si="29"/>
        <v>0.9772456037175552</v>
      </c>
      <c r="CQ70" s="343">
        <f t="shared" si="31"/>
        <v>-1.9865079406846009E-2</v>
      </c>
      <c r="CS70" s="92"/>
      <c r="CT70" s="260"/>
      <c r="CU70" s="260"/>
      <c r="CV70" s="260"/>
      <c r="CW70" s="260"/>
      <c r="CX70" s="260"/>
      <c r="CY70" s="260"/>
      <c r="CZ70" s="260"/>
      <c r="DB70" s="325"/>
      <c r="DC70" s="92"/>
      <c r="DD70" s="92"/>
      <c r="DE70" s="260"/>
      <c r="DF70" s="260"/>
      <c r="DG70" s="260"/>
      <c r="DH70" s="260"/>
      <c r="DI70" s="260"/>
    </row>
    <row r="71" spans="6:113">
      <c r="F71" s="421">
        <v>42308</v>
      </c>
      <c r="G71" s="92">
        <f>IF(Portfolios!$G$16="yes",SUM(T71:X71),AX71)</f>
        <v>9.842306822538377E-2</v>
      </c>
      <c r="H71" s="138">
        <f>IF(IF(Portfolios!$J$10="no",'AC3'!Y71,'AC3'!AE71)=0,NA(),IF(Portfolios!$J$10="no",Y71,AE71))</f>
        <v>-0.92703568291881977</v>
      </c>
      <c r="I71" s="138">
        <f>IF(Portfolios!$J$11="no",NA(),IF(IF(Portfolios!$J$10="no",'AC3'!Z71,'AC3'!AF71)=0,NA(),IF(Portfolios!$J$10="no",Z71,AF71)))</f>
        <v>1.0337717008022782</v>
      </c>
      <c r="J71" s="138">
        <f>IF(Portfolios!$J$11="no",NA(),IF(IF(Portfolios!$J$10="no",'AC3'!AA71,'AC3'!AG71)=0,NA(),IF(Portfolios!$J$10="no",AA71,AG71)))</f>
        <v>0.5429149692968811</v>
      </c>
      <c r="K71" s="138">
        <f>IF(Portfolios!$J$11="no",NA(),IF(IF(Portfolios!$J$10="no",'AC3'!AB71,'AC3'!AH71)=0,NA(),IF(Portfolios!$J$10="no",AB71,AH71)))</f>
        <v>-2.8635141780267288</v>
      </c>
      <c r="L71" s="138">
        <f>IF(Portfolios!$J$11="no",NA(),IF(IF(Portfolios!$J$10="no",'AC3'!AC71,'AC3'!AI71)=0,NA(),IF(Portfolios!$J$10="no",AC71,AI71)))</f>
        <v>-0.8393069093503569</v>
      </c>
      <c r="M71" s="138">
        <f>IF(Portfolios!$J$11="no",NA(),IF(IF(Portfolios!$J$10="no",'AC3'!AD71,'AC3'!AJ71)=0,NA(),IF(Portfolios!$J$10="no",AD71,AJ71)))</f>
        <v>0.13070988142195283</v>
      </c>
      <c r="N71" s="92">
        <f>G71-'Risk Factors'!J71</f>
        <v>9.842306822538377E-2</v>
      </c>
      <c r="O71" s="260">
        <f>HLOOKUP(O$1,'Asset Returns'!$F$1:$N$109,ROW(),0)-'Risk Factors'!$J71</f>
        <v>0.17952367663383484</v>
      </c>
      <c r="P71" s="260">
        <f>HLOOKUP(P$1,'Asset Returns'!$F$1:$N$109,ROW(),0)-'Risk Factors'!$J71</f>
        <v>0.29500323534011841</v>
      </c>
      <c r="Q71" s="260">
        <f>HLOOKUP(Q$1,'Asset Returns'!$F$1:$N$109,ROW(),0)-'Risk Factors'!$J71</f>
        <v>0.12902894616127014</v>
      </c>
      <c r="R71" s="260">
        <f>HLOOKUP(R$1,'Asset Returns'!$F$1:$N$109,ROW(),0)-'Risk Factors'!$J71</f>
        <v>6.3359722495079041E-2</v>
      </c>
      <c r="S71" s="260">
        <f>HLOOKUP(S$1,'Asset Returns'!$F$1:$N$109,ROW(),0)-'Risk Factors'!$J71</f>
        <v>-3.3731117844581604E-2</v>
      </c>
      <c r="T71" s="260">
        <f>HLOOKUP(T$1,'Asset Returns'!$F$1:$N$109,ROW(),0)*Portfolios!$G$10</f>
        <v>1.7952367663383484E-2</v>
      </c>
      <c r="U71" s="260">
        <f>HLOOKUP(U$1,'Asset Returns'!$F$1:$N$109,ROW(),0)*Portfolios!$G$11</f>
        <v>2.9500323534011844E-2</v>
      </c>
      <c r="V71" s="260">
        <f>HLOOKUP(V$1,'Asset Returns'!$F$1:$N$109,ROW(),0)*Portfolios!$G$12</f>
        <v>3.870868384838104E-2</v>
      </c>
      <c r="W71" s="260">
        <f>HLOOKUP(W$1,'Asset Returns'!$F$1:$N$109,ROW(),0)*Portfolios!$G$13</f>
        <v>1.9007916748523711E-2</v>
      </c>
      <c r="X71" s="260">
        <f>HLOOKUP(X$1,'Asset Returns'!$F$1:$N$109,ROW(),0)*Portfolios!$G$14</f>
        <v>-6.7462235689163194E-3</v>
      </c>
      <c r="Y71" s="138">
        <f>Portfolios!$R$34</f>
        <v>-0.68211369708646341</v>
      </c>
      <c r="Z71" s="138">
        <f>Portfolios!$P$11</f>
        <v>0.9378377404978776</v>
      </c>
      <c r="AA71" s="138">
        <f>Portfolios!$P$12</f>
        <v>0.64097224418739052</v>
      </c>
      <c r="AB71" s="138">
        <f>Portfolios!$P$13</f>
        <v>-2.1312105104673718</v>
      </c>
      <c r="AC71" s="138">
        <f>Portfolios!$P$14</f>
        <v>-0.78557102570241866</v>
      </c>
      <c r="AD71" s="138">
        <f>Portfolios!$P$15</f>
        <v>0.17519882647973573</v>
      </c>
      <c r="AE71" s="183">
        <f>INDEX(LINEST(N11:N71,'AC2'!$F11:$J71,1,1),1,1)</f>
        <v>-0.92703568291881977</v>
      </c>
      <c r="AF71" s="183">
        <f>INDEX(LINEST(O11:O71,'AC2'!$F11:$J71,1,1),1,1)</f>
        <v>1.0337717008022782</v>
      </c>
      <c r="AG71" s="183">
        <f>INDEX(LINEST(P11:P71,'AC2'!$F11:$J71,1,1),1,1)</f>
        <v>0.5429149692968811</v>
      </c>
      <c r="AH71" s="183">
        <f>INDEX(LINEST(Q11:Q71,'AC2'!$F11:$J71,1,1),1,1)</f>
        <v>-2.8635141780267288</v>
      </c>
      <c r="AI71" s="183">
        <f>INDEX(LINEST(R11:R71,'AC2'!$F11:$J71,1,1),1,1)</f>
        <v>-0.8393069093503569</v>
      </c>
      <c r="AJ71" s="183">
        <f>INDEX(LINEST(S11:S71,'AC2'!$F11:$J71,1,1),1,1)</f>
        <v>0.13070988142195283</v>
      </c>
      <c r="AL71" s="343">
        <f>AL70*(1+O71+'Risk Factors'!$J71)</f>
        <v>7.8676750119038935E-2</v>
      </c>
      <c r="AM71" s="343">
        <f>AM70*(1+P71+'Risk Factors'!$J71)</f>
        <v>0.18639082902868984</v>
      </c>
      <c r="AN71" s="343">
        <f>AN70*(1+Q71+'Risk Factors'!$J71)</f>
        <v>0.28975877708222453</v>
      </c>
      <c r="AO71" s="343">
        <f>AO70*(1+R71+'Risk Factors'!$J71)</f>
        <v>0.50497837001380319</v>
      </c>
      <c r="AP71" s="343">
        <f>AP70*(1+S71+'Risk Factors'!$J71)</f>
        <v>0.24052774800278479</v>
      </c>
      <c r="AR71" s="343">
        <f t="shared" si="21"/>
        <v>6.0505102869654194E-2</v>
      </c>
      <c r="AS71" s="343">
        <f t="shared" si="22"/>
        <v>0.14334090143883493</v>
      </c>
      <c r="AT71" s="343">
        <f t="shared" si="23"/>
        <v>0.22283437722350283</v>
      </c>
      <c r="AU71" s="343">
        <f t="shared" si="24"/>
        <v>0.38834558085339332</v>
      </c>
      <c r="AV71" s="343">
        <f t="shared" si="25"/>
        <v>0.18497403761461476</v>
      </c>
      <c r="AW71" s="418">
        <f t="shared" si="26"/>
        <v>1.3003324742465412</v>
      </c>
      <c r="AX71" s="343">
        <f t="shared" si="30"/>
        <v>9.1715560229339133E-2</v>
      </c>
      <c r="AZ71" s="421">
        <v>42308</v>
      </c>
      <c r="BA71" s="92">
        <f>HLOOKUP(BA$1,'AC4'!$F$1:$AC$109,ROW(),0)*'Management and Hedging'!$G$10</f>
        <v>1.12532E-2</v>
      </c>
      <c r="BB71" s="92">
        <f>HLOOKUP(BB$1,'AC4'!$F$1:$AC$109,ROW(),0)*'Management and Hedging'!$G$11</f>
        <v>0.10322315692901612</v>
      </c>
      <c r="BC71" s="92">
        <f>IF('Management and Hedging'!$G$13="yes",BA71+BB71,CQ71)</f>
        <v>0.11447635692901613</v>
      </c>
      <c r="BD71" s="138">
        <f>IF(IF('Management and Hedging'!$J$10="no",BL71,BO71)=0,NA(),IF('Management and Hedging'!$J$10="no",BL71,BO71))</f>
        <v>2.0546050710500348</v>
      </c>
      <c r="BE71" s="138">
        <f>IF(IF('Management and Hedging'!$J$10="no",BM71,BP71)=0,NA(),IF('Management and Hedging'!$J$10="no",BM71,BP71))</f>
        <v>-2.8635141780267288</v>
      </c>
      <c r="BF71" s="138">
        <f>IF(IF('Management and Hedging'!$J$10="no",BN71,BQ71)=0,NA(),IF('Management and Hedging'!$J$10="no",BN71,BQ71))</f>
        <v>-1.8798903282113775</v>
      </c>
      <c r="BG71" s="92">
        <f>IF('Management and Hedging'!$G$13="yes",BH71+BI71,CQ71)</f>
        <v>0.11447635692901613</v>
      </c>
      <c r="BH71" s="92">
        <f>HLOOKUP(BH$1,'Asset Returns'!$F$1:$ZY$109,ROW(),0)*'Management and Hedging'!$G$10</f>
        <v>1.12532E-2</v>
      </c>
      <c r="BI71" s="92">
        <f>HLOOKUP(BI$1,'Asset Returns'!$F$1:$ZY$109,ROW(),0)*'Management and Hedging'!$G$11</f>
        <v>0.10322315692901612</v>
      </c>
      <c r="BJ71" s="92">
        <f>HLOOKUP(BJ$1,'AC4'!$F$1:$AC$109,ROW(),0)</f>
        <v>5.6265999999999997E-2</v>
      </c>
      <c r="BK71" s="92">
        <f>HLOOKUP(BK$1,'AC4'!$F$1:$AC$109,ROW(),0)</f>
        <v>0.12902894616127014</v>
      </c>
      <c r="BL71" s="138">
        <f ca="1">'Management and Hedging'!$R$34</f>
        <v>2.5919346055080732</v>
      </c>
      <c r="BM71" s="138">
        <f ca="1">'Management and Hedging'!$R$36</f>
        <v>-2.1312105104673718</v>
      </c>
      <c r="BN71" s="138">
        <f>'Management and Hedging'!$R$38</f>
        <v>-1.1865814872722835</v>
      </c>
      <c r="BO71" s="138">
        <f>INDEX(LINEST(BJ11:BJ71,'AC2'!$F11:$J71,1,1),1,1)</f>
        <v>2.0546050710500348</v>
      </c>
      <c r="BP71" s="138">
        <f>INDEX(LINEST(BK11:BK71,'AC2'!$F11:$J71,1,1),1,1)</f>
        <v>-2.8635141780267288</v>
      </c>
      <c r="BQ71" s="138">
        <f>INDEX(LINEST(BC11:BC71,'AC2'!$F11:$J71,1,1),1,1)</f>
        <v>-1.8798903282113775</v>
      </c>
      <c r="BR71" s="138"/>
      <c r="BS71" s="138"/>
      <c r="BT71" s="138"/>
      <c r="BU71" s="138"/>
      <c r="BV71" s="138"/>
      <c r="BW71" s="138"/>
      <c r="BX71" s="138"/>
      <c r="BY71" s="138"/>
      <c r="BZ71" s="138"/>
      <c r="CA71" s="138"/>
      <c r="CB71" s="138"/>
      <c r="CC71" s="138"/>
      <c r="CD71" s="138"/>
      <c r="CE71" s="138"/>
      <c r="CF71" s="138"/>
      <c r="CG71" s="138"/>
      <c r="CH71" s="138"/>
      <c r="CI71" s="138"/>
      <c r="CJ71" s="138"/>
      <c r="CK71" s="343">
        <f>CK70*(1+BA71+'Risk Factors'!$J71)</f>
        <v>0.16562999878896606</v>
      </c>
      <c r="CL71" s="343">
        <f>CL70*(1+BB71+'Risk Factors'!$J71)</f>
        <v>0.89742650964310955</v>
      </c>
      <c r="CN71" s="343">
        <f t="shared" si="27"/>
        <v>0.15580545105100502</v>
      </c>
      <c r="CO71" s="343">
        <f t="shared" si="28"/>
        <v>0.84419454894899504</v>
      </c>
      <c r="CP71" s="418">
        <f t="shared" si="29"/>
        <v>1.0630565084320756</v>
      </c>
      <c r="CQ71" s="343">
        <f t="shared" si="31"/>
        <v>8.780894422864205E-2</v>
      </c>
      <c r="CS71" s="92"/>
      <c r="CT71" s="260"/>
      <c r="CU71" s="260"/>
      <c r="CV71" s="260"/>
      <c r="CW71" s="260"/>
      <c r="CX71" s="260"/>
      <c r="CY71" s="260"/>
      <c r="CZ71" s="260"/>
      <c r="DB71" s="325"/>
      <c r="DC71" s="92"/>
      <c r="DD71" s="92"/>
      <c r="DE71" s="260"/>
      <c r="DF71" s="260"/>
      <c r="DG71" s="260"/>
      <c r="DH71" s="260"/>
      <c r="DI71" s="260"/>
    </row>
    <row r="72" spans="6:113">
      <c r="F72" s="421">
        <v>42338</v>
      </c>
      <c r="G72" s="92">
        <f>IF(Portfolios!$G$16="yes",SUM(T72:X72),AX72)</f>
        <v>3.7755733565427371E-2</v>
      </c>
      <c r="H72" s="138">
        <f>IF(IF(Portfolios!$J$10="no",'AC3'!Y72,'AC3'!AE72)=0,NA(),IF(Portfolios!$J$10="no",Y72,AE72))</f>
        <v>-0.92516035629889981</v>
      </c>
      <c r="I72" s="138">
        <f>IF(Portfolios!$J$11="no",NA(),IF(IF(Portfolios!$J$10="no",'AC3'!Z72,'AC3'!AF72)=0,NA(),IF(Portfolios!$J$10="no",Z72,AF72)))</f>
        <v>0.99773532044895374</v>
      </c>
      <c r="J72" s="138">
        <f>IF(Portfolios!$J$11="no",NA(),IF(IF(Portfolios!$J$10="no",'AC3'!AA72,'AC3'!AG72)=0,NA(),IF(Portfolios!$J$10="no",AA72,AG72)))</f>
        <v>0.47292797139193943</v>
      </c>
      <c r="K72" s="138">
        <f>IF(Portfolios!$J$11="no",NA(),IF(IF(Portfolios!$J$10="no",'AC3'!AB72,'AC3'!AH72)=0,NA(),IF(Portfolios!$J$10="no",AB72,AH72)))</f>
        <v>-2.8227429305477689</v>
      </c>
      <c r="L72" s="138">
        <f>IF(Portfolios!$J$11="no",NA(),IF(IF(Portfolios!$J$10="no",'AC3'!AC72,'AC3'!AI72)=0,NA(),IF(Portfolios!$J$10="no",AC72,AI72)))</f>
        <v>-0.81411086514791509</v>
      </c>
      <c r="M72" s="138">
        <f>IF(Portfolios!$J$11="no",NA(),IF(IF(Portfolios!$J$10="no",'AC3'!AD72,'AC3'!AJ72)=0,NA(),IF(Portfolios!$J$10="no",AD72,AJ72)))</f>
        <v>9.4147266128582693E-2</v>
      </c>
      <c r="N72" s="92">
        <f>G72-'Risk Factors'!J72</f>
        <v>3.7755733565427371E-2</v>
      </c>
      <c r="O72" s="260">
        <f>HLOOKUP(O$1,'Asset Returns'!$F$1:$N$109,ROW(),0)-'Risk Factors'!$J72</f>
        <v>-1.1708301492035389E-2</v>
      </c>
      <c r="P72" s="260">
        <f>HLOOKUP(P$1,'Asset Returns'!$F$1:$N$109,ROW(),0)-'Risk Factors'!$J72</f>
        <v>7.8521750867366791E-2</v>
      </c>
      <c r="Q72" s="260">
        <f>HLOOKUP(Q$1,'Asset Returns'!$F$1:$N$109,ROW(),0)-'Risk Factors'!$J72</f>
        <v>9.6975214779376984E-2</v>
      </c>
      <c r="R72" s="260">
        <f>HLOOKUP(R$1,'Asset Returns'!$F$1:$N$109,ROW(),0)-'Risk Factors'!$J72</f>
        <v>3.5078383516520262E-3</v>
      </c>
      <c r="S72" s="260">
        <f>HLOOKUP(S$1,'Asset Returns'!$F$1:$N$109,ROW(),0)-'Risk Factors'!$J72</f>
        <v>4.647363442927599E-3</v>
      </c>
      <c r="T72" s="260">
        <f>HLOOKUP(T$1,'Asset Returns'!$F$1:$N$109,ROW(),0)*Portfolios!$G$10</f>
        <v>-1.1708301492035389E-3</v>
      </c>
      <c r="U72" s="260">
        <f>HLOOKUP(U$1,'Asset Returns'!$F$1:$N$109,ROW(),0)*Portfolios!$G$11</f>
        <v>7.8521750867366798E-3</v>
      </c>
      <c r="V72" s="260">
        <f>HLOOKUP(V$1,'Asset Returns'!$F$1:$N$109,ROW(),0)*Portfolios!$G$12</f>
        <v>2.9092564433813094E-2</v>
      </c>
      <c r="W72" s="260">
        <f>HLOOKUP(W$1,'Asset Returns'!$F$1:$N$109,ROW(),0)*Portfolios!$G$13</f>
        <v>1.0523515054956078E-3</v>
      </c>
      <c r="X72" s="260">
        <f>HLOOKUP(X$1,'Asset Returns'!$F$1:$N$109,ROW(),0)*Portfolios!$G$14</f>
        <v>9.2947268858551953E-4</v>
      </c>
      <c r="Y72" s="138">
        <f>Portfolios!$R$34</f>
        <v>-0.68211369708646341</v>
      </c>
      <c r="Z72" s="138">
        <f>Portfolios!$P$11</f>
        <v>0.9378377404978776</v>
      </c>
      <c r="AA72" s="138">
        <f>Portfolios!$P$12</f>
        <v>0.64097224418739052</v>
      </c>
      <c r="AB72" s="138">
        <f>Portfolios!$P$13</f>
        <v>-2.1312105104673718</v>
      </c>
      <c r="AC72" s="138">
        <f>Portfolios!$P$14</f>
        <v>-0.78557102570241866</v>
      </c>
      <c r="AD72" s="138">
        <f>Portfolios!$P$15</f>
        <v>0.17519882647973573</v>
      </c>
      <c r="AE72" s="183">
        <f>INDEX(LINEST(N12:N72,'AC2'!$F12:$J72,1,1),1,1)</f>
        <v>-0.92516035629889981</v>
      </c>
      <c r="AF72" s="183">
        <f>INDEX(LINEST(O12:O72,'AC2'!$F12:$J72,1,1),1,1)</f>
        <v>0.99773532044895374</v>
      </c>
      <c r="AG72" s="183">
        <f>INDEX(LINEST(P12:P72,'AC2'!$F12:$J72,1,1),1,1)</f>
        <v>0.47292797139193943</v>
      </c>
      <c r="AH72" s="183">
        <f>INDEX(LINEST(Q12:Q72,'AC2'!$F12:$J72,1,1),1,1)</f>
        <v>-2.8227429305477689</v>
      </c>
      <c r="AI72" s="183">
        <f>INDEX(LINEST(R12:R72,'AC2'!$F12:$J72,1,1),1,1)</f>
        <v>-0.81411086514791509</v>
      </c>
      <c r="AJ72" s="183">
        <f>INDEX(LINEST(S12:S72,'AC2'!$F12:$J72,1,1),1,1)</f>
        <v>9.4147266128582693E-2</v>
      </c>
      <c r="AL72" s="343">
        <f>AL71*(1+O72+'Risk Factors'!$J72)</f>
        <v>7.7755579008231698E-2</v>
      </c>
      <c r="AM72" s="343">
        <f>AM71*(1+P72+'Risk Factors'!$J72)</f>
        <v>0.20102656326964258</v>
      </c>
      <c r="AN72" s="343">
        <f>AN71*(1+Q72+'Risk Factors'!$J72)</f>
        <v>0.31785819672398286</v>
      </c>
      <c r="AO72" s="343">
        <f>AO71*(1+R72+'Risk Factors'!$J72)</f>
        <v>0.50674975250689236</v>
      </c>
      <c r="AP72" s="343">
        <f>AP71*(1+S72+'Risk Factors'!$J72)</f>
        <v>0.24164556786586264</v>
      </c>
      <c r="AR72" s="343">
        <f t="shared" si="21"/>
        <v>5.7809306739410114E-2</v>
      </c>
      <c r="AS72" s="343">
        <f t="shared" si="22"/>
        <v>0.14945816630847683</v>
      </c>
      <c r="AT72" s="343">
        <f t="shared" si="23"/>
        <v>0.23631953138831591</v>
      </c>
      <c r="AU72" s="343">
        <f t="shared" si="24"/>
        <v>0.37675562649581401</v>
      </c>
      <c r="AV72" s="343">
        <f t="shared" si="25"/>
        <v>0.17965736906798305</v>
      </c>
      <c r="AW72" s="418">
        <f t="shared" si="26"/>
        <v>1.3450356593746122</v>
      </c>
      <c r="AX72" s="343">
        <f t="shared" si="30"/>
        <v>3.4378273259670467E-2</v>
      </c>
      <c r="AZ72" s="421">
        <v>42338</v>
      </c>
      <c r="BA72" s="92">
        <f>HLOOKUP(BA$1,'AC4'!$F$1:$AC$109,ROW(),0)*'Management and Hedging'!$G$10</f>
        <v>-1.50121E-2</v>
      </c>
      <c r="BB72" s="92">
        <f>HLOOKUP(BB$1,'AC4'!$F$1:$AC$109,ROW(),0)*'Management and Hedging'!$G$11</f>
        <v>7.758017182350159E-2</v>
      </c>
      <c r="BC72" s="92">
        <f>IF('Management and Hedging'!$G$13="yes",BA72+BB72,CQ72)</f>
        <v>6.2568071823501589E-2</v>
      </c>
      <c r="BD72" s="138">
        <f>IF(IF('Management and Hedging'!$J$10="no",BL72,BO72)=0,NA(),IF('Management and Hedging'!$J$10="no",BL72,BO72))</f>
        <v>2.1079580540535234</v>
      </c>
      <c r="BE72" s="138">
        <f>IF(IF('Management and Hedging'!$J$10="no",BM72,BP72)=0,NA(),IF('Management and Hedging'!$J$10="no",BM72,BP72))</f>
        <v>-2.8227429305477689</v>
      </c>
      <c r="BF72" s="138">
        <f>IF(IF('Management and Hedging'!$J$10="no",BN72,BQ72)=0,NA(),IF('Management and Hedging'!$J$10="no",BN72,BQ72))</f>
        <v>-1.8366027336275108</v>
      </c>
      <c r="BG72" s="92">
        <f>IF('Management and Hedging'!$G$13="yes",BH72+BI72,CQ72)</f>
        <v>6.2568071823501589E-2</v>
      </c>
      <c r="BH72" s="92">
        <f>HLOOKUP(BH$1,'Asset Returns'!$F$1:$ZY$109,ROW(),0)*'Management and Hedging'!$G$10</f>
        <v>-1.50121E-2</v>
      </c>
      <c r="BI72" s="92">
        <f>HLOOKUP(BI$1,'Asset Returns'!$F$1:$ZY$109,ROW(),0)*'Management and Hedging'!$G$11</f>
        <v>7.758017182350159E-2</v>
      </c>
      <c r="BJ72" s="92">
        <f>HLOOKUP(BJ$1,'AC4'!$F$1:$AC$109,ROW(),0)</f>
        <v>-7.5060500000000002E-2</v>
      </c>
      <c r="BK72" s="92">
        <f>HLOOKUP(BK$1,'AC4'!$F$1:$AC$109,ROW(),0)</f>
        <v>9.6975214779376984E-2</v>
      </c>
      <c r="BL72" s="138">
        <f ca="1">'Management and Hedging'!$R$34</f>
        <v>2.5919346055080732</v>
      </c>
      <c r="BM72" s="138">
        <f ca="1">'Management and Hedging'!$R$36</f>
        <v>-2.1312105104673718</v>
      </c>
      <c r="BN72" s="138">
        <f>'Management and Hedging'!$R$38</f>
        <v>-1.1865814872722835</v>
      </c>
      <c r="BO72" s="138">
        <f>INDEX(LINEST(BJ12:BJ72,'AC2'!$F12:$J72,1,1),1,1)</f>
        <v>2.1079580540535234</v>
      </c>
      <c r="BP72" s="138">
        <f>INDEX(LINEST(BK12:BK72,'AC2'!$F12:$J72,1,1),1,1)</f>
        <v>-2.8227429305477689</v>
      </c>
      <c r="BQ72" s="138">
        <f>INDEX(LINEST(BC12:BC72,'AC2'!$F12:$J72,1,1),1,1)</f>
        <v>-1.8366027336275108</v>
      </c>
      <c r="BR72" s="138"/>
      <c r="BS72" s="138"/>
      <c r="BT72" s="138"/>
      <c r="BU72" s="138"/>
      <c r="BV72" s="138"/>
      <c r="BW72" s="138"/>
      <c r="BX72" s="138"/>
      <c r="BY72" s="138"/>
      <c r="BZ72" s="138"/>
      <c r="CA72" s="138"/>
      <c r="CB72" s="138"/>
      <c r="CC72" s="138"/>
      <c r="CD72" s="138"/>
      <c r="CE72" s="138"/>
      <c r="CF72" s="138"/>
      <c r="CG72" s="138"/>
      <c r="CH72" s="138"/>
      <c r="CI72" s="138"/>
      <c r="CJ72" s="138"/>
      <c r="CK72" s="343">
        <f>CK71*(1+BA72+'Risk Factors'!$J72)</f>
        <v>0.16314354468414621</v>
      </c>
      <c r="CL72" s="343">
        <f>CL71*(1+BB72+'Risk Factors'!$J72)</f>
        <v>0.96704901246018737</v>
      </c>
      <c r="CN72" s="343">
        <f t="shared" si="27"/>
        <v>0.14435022036984765</v>
      </c>
      <c r="CO72" s="343">
        <f t="shared" si="28"/>
        <v>0.85564977963015232</v>
      </c>
      <c r="CP72" s="418">
        <f t="shared" si="29"/>
        <v>1.1301925571443336</v>
      </c>
      <c r="CQ72" s="343">
        <f t="shared" si="31"/>
        <v>6.3153791148203853E-2</v>
      </c>
      <c r="CS72" s="92"/>
      <c r="CT72" s="260"/>
      <c r="CU72" s="260"/>
      <c r="CV72" s="260"/>
      <c r="CW72" s="260"/>
      <c r="CX72" s="260"/>
      <c r="CY72" s="260"/>
      <c r="CZ72" s="260"/>
      <c r="DB72" s="325"/>
      <c r="DC72" s="92"/>
      <c r="DD72" s="92"/>
      <c r="DE72" s="260"/>
      <c r="DF72" s="260"/>
      <c r="DG72" s="260"/>
      <c r="DH72" s="260"/>
      <c r="DI72" s="260"/>
    </row>
    <row r="73" spans="6:113">
      <c r="F73" s="421">
        <v>42369</v>
      </c>
      <c r="G73" s="92">
        <f>IF(Portfolios!$G$16="yes",SUM(T73:X73),AX73)</f>
        <v>9.9696645280346243E-3</v>
      </c>
      <c r="H73" s="138">
        <f>IF(IF(Portfolios!$J$10="no",'AC3'!Y73,'AC3'!AE73)=0,NA(),IF(Portfolios!$J$10="no",Y73,AE73))</f>
        <v>-1.0051583057122873</v>
      </c>
      <c r="I73" s="138">
        <f>IF(Portfolios!$J$11="no",NA(),IF(IF(Portfolios!$J$10="no",'AC3'!Z73,'AC3'!AF73)=0,NA(),IF(Portfolios!$J$10="no",Z73,AF73)))</f>
        <v>1.0073281961009064</v>
      </c>
      <c r="J73" s="138">
        <f>IF(Portfolios!$J$11="no",NA(),IF(IF(Portfolios!$J$10="no",'AC3'!AA73,'AC3'!AG73)=0,NA(),IF(Portfolios!$J$10="no",AA73,AG73)))</f>
        <v>0.33017827318704673</v>
      </c>
      <c r="K73" s="138">
        <f>IF(Portfolios!$J$11="no",NA(),IF(IF(Portfolios!$J$10="no",'AC3'!AB73,'AC3'!AH73)=0,NA(),IF(Portfolios!$J$10="no",AB73,AH73)))</f>
        <v>-2.8230920876685293</v>
      </c>
      <c r="L73" s="138">
        <f>IF(Portfolios!$J$11="no",NA(),IF(IF(Portfolios!$J$10="no",'AC3'!AC73,'AC3'!AI73)=0,NA(),IF(Portfolios!$J$10="no",AC73,AI73)))</f>
        <v>-1.0270057734730984</v>
      </c>
      <c r="M73" s="138">
        <f>IF(Portfolios!$J$11="no",NA(),IF(IF(Portfolios!$J$10="no",'AC3'!AD73,'AC3'!AJ73)=0,NA(),IF(Portfolios!$J$10="no",AD73,AJ73)))</f>
        <v>8.0602028507029383E-2</v>
      </c>
      <c r="N73" s="92">
        <f>G73-'Risk Factors'!J73</f>
        <v>9.8696645280346249E-3</v>
      </c>
      <c r="O73" s="260">
        <f>HLOOKUP(O$1,'Asset Returns'!$F$1:$N$109,ROW(),0)-'Risk Factors'!$J73</f>
        <v>-0.10048015991449356</v>
      </c>
      <c r="P73" s="260">
        <f>HLOOKUP(P$1,'Asset Returns'!$F$1:$N$109,ROW(),0)-'Risk Factors'!$J73</f>
        <v>-6.9267174398899081E-2</v>
      </c>
      <c r="Q73" s="260">
        <f>HLOOKUP(Q$1,'Asset Returns'!$F$1:$N$109,ROW(),0)-'Risk Factors'!$J73</f>
        <v>9.6225412392616269E-2</v>
      </c>
      <c r="R73" s="260">
        <f>HLOOKUP(R$1,'Asset Returns'!$F$1:$N$109,ROW(),0)-'Risk Factors'!$J73</f>
        <v>1.9963356364518406E-3</v>
      </c>
      <c r="S73" s="260">
        <f>HLOOKUP(S$1,'Asset Returns'!$F$1:$N$109,ROW(),0)-'Risk Factors'!$J73</f>
        <v>-1.3110632246732711E-2</v>
      </c>
      <c r="T73" s="260">
        <f>HLOOKUP(T$1,'Asset Returns'!$F$1:$N$109,ROW(),0)*Portfolios!$G$10</f>
        <v>-1.0038015991449357E-2</v>
      </c>
      <c r="U73" s="260">
        <f>HLOOKUP(U$1,'Asset Returns'!$F$1:$N$109,ROW(),0)*Portfolios!$G$11</f>
        <v>-6.9167174398899085E-3</v>
      </c>
      <c r="V73" s="260">
        <f>HLOOKUP(V$1,'Asset Returns'!$F$1:$N$109,ROW(),0)*Portfolios!$G$12</f>
        <v>2.8897623717784881E-2</v>
      </c>
      <c r="W73" s="260">
        <f>HLOOKUP(W$1,'Asset Returns'!$F$1:$N$109,ROW(),0)*Portfolios!$G$13</f>
        <v>6.289006909355521E-4</v>
      </c>
      <c r="X73" s="260">
        <f>HLOOKUP(X$1,'Asset Returns'!$F$1:$N$109,ROW(),0)*Portfolios!$G$14</f>
        <v>-2.6021264493465419E-3</v>
      </c>
      <c r="Y73" s="138">
        <f>Portfolios!$R$34</f>
        <v>-0.68211369708646341</v>
      </c>
      <c r="Z73" s="138">
        <f>Portfolios!$P$11</f>
        <v>0.9378377404978776</v>
      </c>
      <c r="AA73" s="138">
        <f>Portfolios!$P$12</f>
        <v>0.64097224418739052</v>
      </c>
      <c r="AB73" s="138">
        <f>Portfolios!$P$13</f>
        <v>-2.1312105104673718</v>
      </c>
      <c r="AC73" s="138">
        <f>Portfolios!$P$14</f>
        <v>-0.78557102570241866</v>
      </c>
      <c r="AD73" s="138">
        <f>Portfolios!$P$15</f>
        <v>0.17519882647973573</v>
      </c>
      <c r="AE73" s="183">
        <f>INDEX(LINEST(N13:N73,'AC2'!$F13:$J73,1,1),1,1)</f>
        <v>-1.0051583057122873</v>
      </c>
      <c r="AF73" s="183">
        <f>INDEX(LINEST(O13:O73,'AC2'!$F13:$J73,1,1),1,1)</f>
        <v>1.0073281961009064</v>
      </c>
      <c r="AG73" s="183">
        <f>INDEX(LINEST(P13:P73,'AC2'!$F13:$J73,1,1),1,1)</f>
        <v>0.33017827318704673</v>
      </c>
      <c r="AH73" s="183">
        <f>INDEX(LINEST(Q13:Q73,'AC2'!$F13:$J73,1,1),1,1)</f>
        <v>-2.8230920876685293</v>
      </c>
      <c r="AI73" s="183">
        <f>INDEX(LINEST(R13:R73,'AC2'!$F13:$J73,1,1),1,1)</f>
        <v>-1.0270057734730984</v>
      </c>
      <c r="AJ73" s="183">
        <f>INDEX(LINEST(S13:S73,'AC2'!$F13:$J73,1,1),1,1)</f>
        <v>8.0602028507029383E-2</v>
      </c>
      <c r="AL73" s="343">
        <f>AL72*(1+O73+'Risk Factors'!$J73)</f>
        <v>6.9950461553141358E-2</v>
      </c>
      <c r="AM73" s="343">
        <f>AM72*(1+P73+'Risk Factors'!$J73)</f>
        <v>0.18712212390915989</v>
      </c>
      <c r="AN73" s="343">
        <f>AN72*(1+Q73+'Risk Factors'!$J73)</f>
        <v>0.34847601860579386</v>
      </c>
      <c r="AO73" s="343">
        <f>AO72*(1+R73+'Risk Factors'!$J73)</f>
        <v>0.50781207007183571</v>
      </c>
      <c r="AP73" s="343">
        <f>AP72*(1+S73+'Risk Factors'!$J73)</f>
        <v>0.23850160624830702</v>
      </c>
      <c r="AR73" s="343">
        <f t="shared" si="21"/>
        <v>5.1743777874364891E-2</v>
      </c>
      <c r="AS73" s="343">
        <f t="shared" si="22"/>
        <v>0.13841803756475904</v>
      </c>
      <c r="AT73" s="343">
        <f t="shared" si="23"/>
        <v>0.25777479234476164</v>
      </c>
      <c r="AU73" s="343">
        <f t="shared" si="24"/>
        <v>0.37563890748249779</v>
      </c>
      <c r="AV73" s="343">
        <f t="shared" si="25"/>
        <v>0.1764244847336168</v>
      </c>
      <c r="AW73" s="418">
        <f t="shared" si="26"/>
        <v>1.3518622803882376</v>
      </c>
      <c r="AX73" s="343">
        <f t="shared" si="30"/>
        <v>5.0754200946609984E-3</v>
      </c>
      <c r="AZ73" s="421">
        <v>42369</v>
      </c>
      <c r="BA73" s="92">
        <f>HLOOKUP(BA$1,'AC4'!$F$1:$AC$109,ROW(),0)*'Management and Hedging'!$G$10</f>
        <v>9.7745600000000016E-3</v>
      </c>
      <c r="BB73" s="92">
        <f>HLOOKUP(BB$1,'AC4'!$F$1:$AC$109,ROW(),0)*'Management and Hedging'!$G$11</f>
        <v>7.6980329914093024E-2</v>
      </c>
      <c r="BC73" s="92">
        <f>IF('Management and Hedging'!$G$13="yes",BA73+BB73,CQ73)</f>
        <v>8.6754889914093025E-2</v>
      </c>
      <c r="BD73" s="138">
        <f>IF(IF('Management and Hedging'!$J$10="no",BL73,BO73)=0,NA(),IF('Management and Hedging'!$J$10="no",BL73,BO73))</f>
        <v>2.0049698699794929</v>
      </c>
      <c r="BE73" s="138">
        <f>IF(IF('Management and Hedging'!$J$10="no",BM73,BP73)=0,NA(),IF('Management and Hedging'!$J$10="no",BM73,BP73))</f>
        <v>-2.8230920876685293</v>
      </c>
      <c r="BF73" s="138">
        <f>IF(IF('Management and Hedging'!$J$10="no",BN73,BQ73)=0,NA(),IF('Management and Hedging'!$J$10="no",BN73,BQ73))</f>
        <v>-1.8574796961389237</v>
      </c>
      <c r="BG73" s="92">
        <f>IF('Management and Hedging'!$G$13="yes",BH73+BI73,CQ73)</f>
        <v>8.6854889914093014E-2</v>
      </c>
      <c r="BH73" s="92">
        <f>HLOOKUP(BH$1,'Asset Returns'!$F$1:$ZY$109,ROW(),0)*'Management and Hedging'!$G$10</f>
        <v>9.7945600000000008E-3</v>
      </c>
      <c r="BI73" s="92">
        <f>HLOOKUP(BI$1,'Asset Returns'!$F$1:$ZY$109,ROW(),0)*'Management and Hedging'!$G$11</f>
        <v>7.706032991409302E-2</v>
      </c>
      <c r="BJ73" s="92">
        <f>HLOOKUP(BJ$1,'AC4'!$F$1:$AC$109,ROW(),0)</f>
        <v>4.8872800000000001E-2</v>
      </c>
      <c r="BK73" s="92">
        <f>HLOOKUP(BK$1,'AC4'!$F$1:$AC$109,ROW(),0)</f>
        <v>9.6225412392616269E-2</v>
      </c>
      <c r="BL73" s="138">
        <f ca="1">'Management and Hedging'!$R$34</f>
        <v>2.5919346055080732</v>
      </c>
      <c r="BM73" s="138">
        <f ca="1">'Management and Hedging'!$R$36</f>
        <v>-2.1312105104673718</v>
      </c>
      <c r="BN73" s="138">
        <f>'Management and Hedging'!$R$38</f>
        <v>-1.1865814872722835</v>
      </c>
      <c r="BO73" s="138">
        <f>INDEX(LINEST(BJ13:BJ73,'AC2'!$F13:$J73,1,1),1,1)</f>
        <v>2.0049698699794929</v>
      </c>
      <c r="BP73" s="138">
        <f>INDEX(LINEST(BK13:BK73,'AC2'!$F13:$J73,1,1),1,1)</f>
        <v>-2.8230920876685293</v>
      </c>
      <c r="BQ73" s="138">
        <f>INDEX(LINEST(BC13:BC73,'AC2'!$F13:$J73,1,1),1,1)</f>
        <v>-1.8574796961389237</v>
      </c>
      <c r="BR73" s="138"/>
      <c r="BS73" s="138"/>
      <c r="BT73" s="138"/>
      <c r="BU73" s="138"/>
      <c r="BV73" s="138"/>
      <c r="BW73" s="138"/>
      <c r="BX73" s="138"/>
      <c r="BY73" s="138"/>
      <c r="BZ73" s="138"/>
      <c r="CA73" s="138"/>
      <c r="CB73" s="138"/>
      <c r="CC73" s="138"/>
      <c r="CD73" s="138"/>
      <c r="CE73" s="138"/>
      <c r="CF73" s="138"/>
      <c r="CG73" s="138"/>
      <c r="CH73" s="138"/>
      <c r="CI73" s="138"/>
      <c r="CJ73" s="138"/>
      <c r="CK73" s="343">
        <f>CK72*(1+BA73+'Risk Factors'!$J73)</f>
        <v>0.16475451540474251</v>
      </c>
      <c r="CL73" s="343">
        <f>CL72*(1+BB73+'Risk Factors'!$J73)</f>
        <v>1.0415894693837164</v>
      </c>
      <c r="CN73" s="343">
        <f t="shared" si="27"/>
        <v>0.13657341312447743</v>
      </c>
      <c r="CO73" s="343">
        <f t="shared" si="28"/>
        <v>0.86342658687552254</v>
      </c>
      <c r="CP73" s="418">
        <f t="shared" si="29"/>
        <v>1.2063439847884589</v>
      </c>
      <c r="CQ73" s="343">
        <f t="shared" si="31"/>
        <v>6.7379162216868238E-2</v>
      </c>
      <c r="CS73" s="92"/>
      <c r="CT73" s="260"/>
      <c r="CU73" s="260"/>
      <c r="CV73" s="260"/>
      <c r="CW73" s="260"/>
      <c r="CX73" s="260"/>
      <c r="CY73" s="260"/>
      <c r="CZ73" s="260"/>
      <c r="DB73" s="325"/>
      <c r="DC73" s="92"/>
      <c r="DD73" s="92"/>
      <c r="DE73" s="260"/>
      <c r="DF73" s="260"/>
      <c r="DG73" s="260"/>
      <c r="DH73" s="260"/>
      <c r="DI73" s="260"/>
    </row>
    <row r="74" spans="6:113" s="153" customFormat="1">
      <c r="F74" s="421">
        <v>42400</v>
      </c>
      <c r="G74" s="92">
        <f>IF(Portfolios!$G$16="yes",SUM(T74:X74),AX74)</f>
        <v>-6.9305294752120966E-2</v>
      </c>
      <c r="H74" s="158">
        <f>IF(IF(Portfolios!$J$10="no",'AC3'!Y74,'AC3'!AE74)=0,NA(),IF(Portfolios!$J$10="no",Y74,AE74))</f>
        <v>-0.95191587592254934</v>
      </c>
      <c r="I74" s="158">
        <f>IF(Portfolios!$J$11="no",NA(),IF(IF(Portfolios!$J$10="no",'AC3'!Z74,'AC3'!AF74)=0,NA(),IF(Portfolios!$J$10="no",Z74,AF74)))</f>
        <v>1.0971735753408567</v>
      </c>
      <c r="J74" s="158">
        <f>IF(Portfolios!$J$11="no",NA(),IF(IF(Portfolios!$J$10="no",'AC3'!AA74,'AC3'!AG74)=0,NA(),IF(Portfolios!$J$10="no",AA74,AG74)))</f>
        <v>0.37375151226950903</v>
      </c>
      <c r="K74" s="158">
        <f>IF(Portfolios!$J$11="no",NA(),IF(IF(Portfolios!$J$10="no",'AC3'!AB74,'AC3'!AH74)=0,NA(),IF(Portfolios!$J$10="no",AB74,AH74)))</f>
        <v>-2.6691032182660073</v>
      </c>
      <c r="L74" s="158">
        <f>IF(Portfolios!$J$11="no",NA(),IF(IF(Portfolios!$J$10="no",'AC3'!AC74,'AC3'!AI74)=0,NA(),IF(Portfolios!$J$10="no",AC74,AI74)))</f>
        <v>-1.0073150609117265</v>
      </c>
      <c r="M74" s="158">
        <f>IF(Portfolios!$J$11="no",NA(),IF(IF(Portfolios!$J$10="no",'AC3'!AD74,'AC3'!AJ74)=0,NA(),IF(Portfolios!$J$10="no",AD74,AJ74)))</f>
        <v>1.9585495348668897E-2</v>
      </c>
      <c r="N74" s="275">
        <f>G74-'Risk Factors'!J74</f>
        <v>-6.9405294752120969E-2</v>
      </c>
      <c r="O74" s="154">
        <f>HLOOKUP(O$1,'Asset Returns'!$F$1:$N$109,ROW(),0)-'Risk Factors'!$J74</f>
        <v>2.22923958837986E-2</v>
      </c>
      <c r="P74" s="154">
        <f>HLOOKUP(P$1,'Asset Returns'!$F$1:$N$109,ROW(),0)-'Risk Factors'!$J74</f>
        <v>-0.16105721721649169</v>
      </c>
      <c r="Q74" s="154">
        <f>HLOOKUP(Q$1,'Asset Returns'!$F$1:$N$109,ROW(),0)-'Risk Factors'!$J74</f>
        <v>-7.803524116277695E-2</v>
      </c>
      <c r="R74" s="154">
        <f>HLOOKUP(R$1,'Asset Returns'!$F$1:$N$109,ROW(),0)-'Risk Factors'!$J74</f>
        <v>-4.4775651937723163E-2</v>
      </c>
      <c r="S74" s="154">
        <f>HLOOKUP(S$1,'Asset Returns'!$F$1:$N$109,ROW(),0)-'Risk Factors'!$J74</f>
        <v>-9.3427723443508151E-2</v>
      </c>
      <c r="T74" s="154">
        <f>HLOOKUP(T$1,'Asset Returns'!$F$1:$N$109,ROW(),0)*Portfolios!$G$10</f>
        <v>2.2392395883798601E-3</v>
      </c>
      <c r="U74" s="154">
        <f>HLOOKUP(U$1,'Asset Returns'!$F$1:$N$109,ROW(),0)*Portfolios!$G$11</f>
        <v>-1.6095721721649171E-2</v>
      </c>
      <c r="V74" s="154">
        <f>HLOOKUP(V$1,'Asset Returns'!$F$1:$N$109,ROW(),0)*Portfolios!$G$12</f>
        <v>-2.3380572348833083E-2</v>
      </c>
      <c r="W74" s="154">
        <f>HLOOKUP(W$1,'Asset Returns'!$F$1:$N$109,ROW(),0)*Portfolios!$G$13</f>
        <v>-1.3402695581316947E-2</v>
      </c>
      <c r="X74" s="154">
        <f>HLOOKUP(X$1,'Asset Returns'!$F$1:$N$109,ROW(),0)*Portfolios!$G$14</f>
        <v>-1.8665544688701626E-2</v>
      </c>
      <c r="Y74" s="158">
        <f>Portfolios!$R$34</f>
        <v>-0.68211369708646341</v>
      </c>
      <c r="Z74" s="138">
        <f>Portfolios!$P$11</f>
        <v>0.9378377404978776</v>
      </c>
      <c r="AA74" s="138">
        <f>Portfolios!$P$12</f>
        <v>0.64097224418739052</v>
      </c>
      <c r="AB74" s="138">
        <f>Portfolios!$P$13</f>
        <v>-2.1312105104673718</v>
      </c>
      <c r="AC74" s="138">
        <f>Portfolios!$P$14</f>
        <v>-0.78557102570241866</v>
      </c>
      <c r="AD74" s="138">
        <f>Portfolios!$P$15</f>
        <v>0.17519882647973573</v>
      </c>
      <c r="AE74" s="157">
        <f>INDEX(LINEST(N14:N74,'AC2'!$F14:$J74,1,1),1,1)</f>
        <v>-0.95191587592254934</v>
      </c>
      <c r="AF74" s="157">
        <f>INDEX(LINEST(O14:O74,'AC2'!$F14:$J74,1,1),1,1)</f>
        <v>1.0971735753408567</v>
      </c>
      <c r="AG74" s="157">
        <f>INDEX(LINEST(P14:P74,'AC2'!$F14:$J74,1,1),1,1)</f>
        <v>0.37375151226950903</v>
      </c>
      <c r="AH74" s="157">
        <f>INDEX(LINEST(Q14:Q74,'AC2'!$F14:$J74,1,1),1,1)</f>
        <v>-2.6691032182660073</v>
      </c>
      <c r="AI74" s="157">
        <f>INDEX(LINEST(R14:R74,'AC2'!$F14:$J74,1,1),1,1)</f>
        <v>-1.0073150609117265</v>
      </c>
      <c r="AJ74" s="157">
        <f>INDEX(LINEST(S14:S74,'AC2'!$F14:$J74,1,1),1,1)</f>
        <v>1.9585495348668897E-2</v>
      </c>
      <c r="AK74" s="343"/>
      <c r="AL74" s="343">
        <f>AL73*(1+O74+'Risk Factors'!$J74)</f>
        <v>7.1516819980493737E-2</v>
      </c>
      <c r="AM74" s="343">
        <f>AM73*(1+P74+'Risk Factors'!$J74)</f>
        <v>0.15700346756510197</v>
      </c>
      <c r="AN74" s="343">
        <f>AN73*(1+Q74+'Risk Factors'!$J74)</f>
        <v>0.32131745605630696</v>
      </c>
      <c r="AO74" s="343">
        <f>AO73*(1+R74+'Risk Factors'!$J74)</f>
        <v>0.48512523477953168</v>
      </c>
      <c r="AP74" s="343">
        <f>AP73*(1+S74+'Risk Factors'!$J74)</f>
        <v>0.21624279429953255</v>
      </c>
      <c r="AQ74" s="343"/>
      <c r="AR74" s="343">
        <f t="shared" si="21"/>
        <v>5.7158320031767573E-2</v>
      </c>
      <c r="AS74" s="343">
        <f t="shared" si="22"/>
        <v>0.12548173209646371</v>
      </c>
      <c r="AT74" s="343">
        <f t="shared" si="23"/>
        <v>0.25680624488154169</v>
      </c>
      <c r="AU74" s="343">
        <f t="shared" si="24"/>
        <v>0.38772618011508259</v>
      </c>
      <c r="AV74" s="343">
        <f t="shared" si="25"/>
        <v>0.17282752287514441</v>
      </c>
      <c r="AW74" s="418">
        <f t="shared" si="26"/>
        <v>1.2512057726809669</v>
      </c>
      <c r="AX74" s="343">
        <f t="shared" si="30"/>
        <v>-7.4457664192216E-2</v>
      </c>
      <c r="AZ74" s="421">
        <v>42400</v>
      </c>
      <c r="BA74" s="275">
        <f>HLOOKUP(BA$1,'AC4'!$F$1:$AC$109,ROW(),0)*'Management and Hedging'!$G$10</f>
        <v>2.7272600000000004E-3</v>
      </c>
      <c r="BB74" s="275">
        <f>HLOOKUP(BB$1,'AC4'!$F$1:$AC$109,ROW(),0)*'Management and Hedging'!$G$11</f>
        <v>-6.242819293022156E-2</v>
      </c>
      <c r="BC74" s="92">
        <f>IF('Management and Hedging'!$G$13="yes",BA74+BB74,CQ74)</f>
        <v>-5.9700932930221558E-2</v>
      </c>
      <c r="BD74" s="158">
        <f>IF(IF('Management and Hedging'!$J$10="no",BL74,BO74)=0,NA(),IF('Management and Hedging'!$J$10="no",BL74,BO74))</f>
        <v>2.1320323426905365</v>
      </c>
      <c r="BE74" s="158">
        <f>IF(IF('Management and Hedging'!$J$10="no",BM74,BP74)=0,NA(),IF('Management and Hedging'!$J$10="no",BM74,BP74))</f>
        <v>-2.6691032182660073</v>
      </c>
      <c r="BF74" s="158">
        <f>IF(IF('Management and Hedging'!$J$10="no",BN74,BQ74)=0,NA(),IF('Management and Hedging'!$J$10="no",BN74,BQ74))</f>
        <v>-1.7088761060746982</v>
      </c>
      <c r="BG74" s="92">
        <f>IF('Management and Hedging'!$G$13="yes",BH74+BI74,CQ74)</f>
        <v>-5.9600932930221562E-2</v>
      </c>
      <c r="BH74" s="275">
        <f>HLOOKUP(BH$1,'Asset Returns'!$F$1:$ZY$109,ROW(),0)*'Management and Hedging'!$G$10</f>
        <v>2.7472600000000001E-3</v>
      </c>
      <c r="BI74" s="275">
        <f>HLOOKUP(BI$1,'Asset Returns'!$F$1:$ZY$109,ROW(),0)*'Management and Hedging'!$G$11</f>
        <v>-6.2348192930221563E-2</v>
      </c>
      <c r="BJ74" s="275">
        <f>HLOOKUP(BJ$1,'AC4'!$F$1:$AC$109,ROW(),0)</f>
        <v>1.3636300000000001E-2</v>
      </c>
      <c r="BK74" s="275">
        <f>HLOOKUP(BK$1,'AC4'!$F$1:$AC$109,ROW(),0)</f>
        <v>-7.803524116277695E-2</v>
      </c>
      <c r="BL74" s="158">
        <f ca="1">'Management and Hedging'!$R$34</f>
        <v>2.5919346055080732</v>
      </c>
      <c r="BM74" s="158">
        <f ca="1">'Management and Hedging'!$R$36</f>
        <v>-2.1312105104673718</v>
      </c>
      <c r="BN74" s="158">
        <f>'Management and Hedging'!$R$38</f>
        <v>-1.1865814872722835</v>
      </c>
      <c r="BO74" s="158">
        <f>INDEX(LINEST(BJ14:BJ74,'AC2'!$F14:$J74,1,1),1,1)</f>
        <v>2.1320323426905365</v>
      </c>
      <c r="BP74" s="158">
        <f>INDEX(LINEST(BK14:BK74,'AC2'!$F14:$J74,1,1),1,1)</f>
        <v>-2.6691032182660073</v>
      </c>
      <c r="BQ74" s="158">
        <f>INDEX(LINEST(BC14:BC74,'AC2'!$F14:$J74,1,1),1,1)</f>
        <v>-1.7088761060746982</v>
      </c>
      <c r="BR74" s="158"/>
      <c r="BS74" s="158"/>
      <c r="BT74" s="158"/>
      <c r="BU74" s="158"/>
      <c r="BV74" s="158"/>
      <c r="BW74" s="158"/>
      <c r="BX74" s="158"/>
      <c r="BY74" s="158"/>
      <c r="BZ74" s="158"/>
      <c r="CA74" s="158"/>
      <c r="CB74" s="158"/>
      <c r="CC74" s="158"/>
      <c r="CD74" s="158"/>
      <c r="CE74" s="158"/>
      <c r="CF74" s="158"/>
      <c r="CG74" s="158"/>
      <c r="CH74" s="158"/>
      <c r="CI74" s="158"/>
      <c r="CJ74" s="158"/>
      <c r="CK74" s="343">
        <f>CK73*(1+BA74+'Risk Factors'!$J74)</f>
        <v>0.1652203192559657</v>
      </c>
      <c r="CL74" s="343">
        <f>CL73*(1+BB74+'Risk Factors'!$J74)</f>
        <v>0.97666907998188113</v>
      </c>
      <c r="CM74" s="343"/>
      <c r="CN74" s="343">
        <f t="shared" si="27"/>
        <v>0.14469029957388332</v>
      </c>
      <c r="CO74" s="343">
        <f t="shared" si="28"/>
        <v>0.85530970042611676</v>
      </c>
      <c r="CP74" s="418">
        <f t="shared" si="29"/>
        <v>1.1418893992378467</v>
      </c>
      <c r="CQ74" s="343">
        <f t="shared" si="31"/>
        <v>-5.3429690339869995E-2</v>
      </c>
      <c r="CR74" s="343"/>
      <c r="CS74" s="275"/>
      <c r="CT74" s="154"/>
      <c r="CU74" s="154"/>
      <c r="CV74" s="154"/>
      <c r="CW74" s="154"/>
      <c r="CX74" s="154"/>
      <c r="CY74" s="154"/>
      <c r="CZ74" s="154"/>
      <c r="DA74" s="215"/>
      <c r="DB74" s="325"/>
      <c r="DC74" s="275"/>
      <c r="DD74" s="275"/>
      <c r="DE74" s="154"/>
      <c r="DF74" s="154"/>
      <c r="DG74" s="154"/>
      <c r="DH74" s="154"/>
      <c r="DI74" s="154"/>
    </row>
    <row r="75" spans="6:113">
      <c r="F75" s="421">
        <v>42429</v>
      </c>
      <c r="G75" s="92">
        <f>IF(Portfolios!$G$16="yes",SUM(T75:X75),AX75)</f>
        <v>-2.9685609787702565E-2</v>
      </c>
      <c r="H75" s="138">
        <f>IF(IF(Portfolios!$J$10="no",'AC3'!Y75,'AC3'!AE75)=0,NA(),IF(Portfolios!$J$10="no",Y75,AE75))</f>
        <v>-0.974024412678973</v>
      </c>
      <c r="I75" s="138">
        <f>IF(Portfolios!$J$11="no",NA(),IF(IF(Portfolios!$J$10="no",'AC3'!Z75,'AC3'!AF75)=0,NA(),IF(Portfolios!$J$10="no",Z75,AF75)))</f>
        <v>0.99578744713349465</v>
      </c>
      <c r="J75" s="138">
        <f>IF(Portfolios!$J$11="no",NA(),IF(IF(Portfolios!$J$10="no",'AC3'!AA75,'AC3'!AG75)=0,NA(),IF(Portfolios!$J$10="no",AA75,AG75)))</f>
        <v>3.5151122582227801E-2</v>
      </c>
      <c r="K75" s="138">
        <f>IF(Portfolios!$J$11="no",NA(),IF(IF(Portfolios!$J$10="no",'AC3'!AB75,'AC3'!AH75)=0,NA(),IF(Portfolios!$J$10="no",AB75,AH75)))</f>
        <v>-2.5656747813120218</v>
      </c>
      <c r="L75" s="138">
        <f>IF(Portfolios!$J$11="no",NA(),IF(IF(Portfolios!$J$10="no",'AC3'!AC75,'AC3'!AI75)=0,NA(),IF(Portfolios!$J$10="no",AC75,AI75)))</f>
        <v>-1.1319851867489894</v>
      </c>
      <c r="M75" s="138">
        <f>IF(Portfolios!$J$11="no",NA(),IF(IF(Portfolios!$J$10="no",'AC3'!AD75,'AC3'!AJ75)=0,NA(),IF(Portfolios!$J$10="no",AD75,AJ75)))</f>
        <v>0.16089860383878998</v>
      </c>
      <c r="N75" s="92">
        <f>G75-'Risk Factors'!J75</f>
        <v>-2.9885609787702563E-2</v>
      </c>
      <c r="O75" s="260">
        <f>HLOOKUP(O$1,'Asset Returns'!$F$1:$N$109,ROW(),0)-'Risk Factors'!$J75</f>
        <v>-6.1599050056934355E-2</v>
      </c>
      <c r="P75" s="260">
        <f>HLOOKUP(P$1,'Asset Returns'!$F$1:$N$109,ROW(),0)-'Risk Factors'!$J75</f>
        <v>-0.11793584038019181</v>
      </c>
      <c r="Q75" s="260">
        <f>HLOOKUP(Q$1,'Asset Returns'!$F$1:$N$109,ROW(),0)-'Risk Factors'!$J75</f>
        <v>4.1937078940868379E-2</v>
      </c>
      <c r="R75" s="260">
        <f>HLOOKUP(R$1,'Asset Returns'!$F$1:$N$109,ROW(),0)-'Risk Factors'!$J75</f>
        <v>-0.12194665927886963</v>
      </c>
      <c r="S75" s="260">
        <f>HLOOKUP(S$1,'Asset Returns'!$F$1:$N$109,ROW(),0)-'Risk Factors'!$J75</f>
        <v>6.0353766787052156E-2</v>
      </c>
      <c r="T75" s="260">
        <f>HLOOKUP(T$1,'Asset Returns'!$F$1:$N$109,ROW(),0)*Portfolios!$G$10</f>
        <v>-6.1399050056934364E-3</v>
      </c>
      <c r="U75" s="260">
        <f>HLOOKUP(U$1,'Asset Returns'!$F$1:$N$109,ROW(),0)*Portfolios!$G$11</f>
        <v>-1.1773584038019182E-2</v>
      </c>
      <c r="V75" s="260">
        <f>HLOOKUP(V$1,'Asset Returns'!$F$1:$N$109,ROW(),0)*Portfolios!$G$12</f>
        <v>1.2641123682260513E-2</v>
      </c>
      <c r="W75" s="260">
        <f>HLOOKUP(W$1,'Asset Returns'!$F$1:$N$109,ROW(),0)*Portfolios!$G$13</f>
        <v>-3.6523997783660889E-2</v>
      </c>
      <c r="X75" s="260">
        <f>HLOOKUP(X$1,'Asset Returns'!$F$1:$N$109,ROW(),0)*Portfolios!$G$14</f>
        <v>1.2110753357410428E-2</v>
      </c>
      <c r="Y75" s="138">
        <f>Portfolios!$R$34</f>
        <v>-0.68211369708646341</v>
      </c>
      <c r="Z75" s="138">
        <f>Portfolios!$P$11</f>
        <v>0.9378377404978776</v>
      </c>
      <c r="AA75" s="138">
        <f>Portfolios!$P$12</f>
        <v>0.64097224418739052</v>
      </c>
      <c r="AB75" s="138">
        <f>Portfolios!$P$13</f>
        <v>-2.1312105104673718</v>
      </c>
      <c r="AC75" s="138">
        <f>Portfolios!$P$14</f>
        <v>-0.78557102570241866</v>
      </c>
      <c r="AD75" s="138">
        <f>Portfolios!$P$15</f>
        <v>0.17519882647973573</v>
      </c>
      <c r="AE75" s="183">
        <f>INDEX(LINEST(N15:N75,'AC2'!$F15:$J75,1,1),1,1)</f>
        <v>-0.974024412678973</v>
      </c>
      <c r="AF75" s="183">
        <f>INDEX(LINEST(O15:O75,'AC2'!$F15:$J75,1,1),1,1)</f>
        <v>0.99578744713349465</v>
      </c>
      <c r="AG75" s="183">
        <f>INDEX(LINEST(P15:P75,'AC2'!$F15:$J75,1,1),1,1)</f>
        <v>3.5151122582227801E-2</v>
      </c>
      <c r="AH75" s="183">
        <f>INDEX(LINEST(Q15:Q75,'AC2'!$F15:$J75,1,1),1,1)</f>
        <v>-2.5656747813120218</v>
      </c>
      <c r="AI75" s="183">
        <f>INDEX(LINEST(R15:R75,'AC2'!$F15:$J75,1,1),1,1)</f>
        <v>-1.1319851867489894</v>
      </c>
      <c r="AJ75" s="183">
        <f>INDEX(LINEST(S15:S75,'AC2'!$F15:$J75,1,1),1,1)</f>
        <v>0.16089860383878998</v>
      </c>
      <c r="AL75" s="343">
        <f>AL74*(1+O75+'Risk Factors'!$J75)</f>
        <v>6.7125755170598642E-2</v>
      </c>
      <c r="AM75" s="343">
        <f>AM74*(1+P75+'Risk Factors'!$J75)</f>
        <v>0.1385185323687205</v>
      </c>
      <c r="AN75" s="343">
        <f>AN74*(1+Q75+'Risk Factors'!$J75)</f>
        <v>0.33485683506723057</v>
      </c>
      <c r="AO75" s="343">
        <f>AO74*(1+R75+'Risk Factors'!$J75)</f>
        <v>0.4260628581132464</v>
      </c>
      <c r="AP75" s="343">
        <f>AP74*(1+S75+'Risk Factors'!$J75)</f>
        <v>0.22933711003492693</v>
      </c>
      <c r="AR75" s="343">
        <f t="shared" si="21"/>
        <v>5.612985529450111E-2</v>
      </c>
      <c r="AS75" s="343">
        <f t="shared" si="22"/>
        <v>0.11582774983615295</v>
      </c>
      <c r="AT75" s="343">
        <f t="shared" si="23"/>
        <v>0.28000378765095474</v>
      </c>
      <c r="AU75" s="343">
        <f t="shared" si="24"/>
        <v>0.35626931140631518</v>
      </c>
      <c r="AV75" s="343">
        <f t="shared" si="25"/>
        <v>0.19176929581207611</v>
      </c>
      <c r="AW75" s="418">
        <f t="shared" si="26"/>
        <v>1.195901090754723</v>
      </c>
      <c r="AX75" s="343">
        <f t="shared" si="30"/>
        <v>-4.4201108349861795E-2</v>
      </c>
      <c r="AZ75" s="421">
        <v>42429</v>
      </c>
      <c r="BA75" s="92">
        <f>HLOOKUP(BA$1,'AC4'!$F$1:$AC$109,ROW(),0)*'Management and Hedging'!$G$10</f>
        <v>5.0908500000000016E-2</v>
      </c>
      <c r="BB75" s="92">
        <f>HLOOKUP(BB$1,'AC4'!$F$1:$AC$109,ROW(),0)*'Management and Hedging'!$G$11</f>
        <v>3.3549663152694705E-2</v>
      </c>
      <c r="BC75" s="92">
        <f>IF('Management and Hedging'!$G$13="yes",BA75+BB75,CQ75)</f>
        <v>8.4458163152694721E-2</v>
      </c>
      <c r="BD75" s="138">
        <f>IF(IF('Management and Hedging'!$J$10="no",BL75,BO75)=0,NA(),IF('Management and Hedging'!$J$10="no",BL75,BO75))</f>
        <v>2.3290828476620629</v>
      </c>
      <c r="BE75" s="138">
        <f>IF(IF('Management and Hedging'!$J$10="no",BM75,BP75)=0,NA(),IF('Management and Hedging'!$J$10="no",BM75,BP75))</f>
        <v>-2.5656747813120218</v>
      </c>
      <c r="BF75" s="138">
        <f>IF(IF('Management and Hedging'!$J$10="no",BN75,BQ75)=0,NA(),IF('Management and Hedging'!$J$10="no",BN75,BQ75))</f>
        <v>-1.5867232555172039</v>
      </c>
      <c r="BG75" s="92">
        <f>IF('Management and Hedging'!$G$13="yes",BH75+BI75,CQ75)</f>
        <v>8.4658163152694713E-2</v>
      </c>
      <c r="BH75" s="92">
        <f>HLOOKUP(BH$1,'Asset Returns'!$F$1:$ZY$109,ROW(),0)*'Management and Hedging'!$G$10</f>
        <v>5.0948500000000008E-2</v>
      </c>
      <c r="BI75" s="92">
        <f>HLOOKUP(BI$1,'Asset Returns'!$F$1:$ZY$109,ROW(),0)*'Management and Hedging'!$G$11</f>
        <v>3.3709663152694705E-2</v>
      </c>
      <c r="BJ75" s="92">
        <f>HLOOKUP(BJ$1,'AC4'!$F$1:$AC$109,ROW(),0)</f>
        <v>0.25454250000000006</v>
      </c>
      <c r="BK75" s="92">
        <f>HLOOKUP(BK$1,'AC4'!$F$1:$AC$109,ROW(),0)</f>
        <v>4.1937078940868379E-2</v>
      </c>
      <c r="BL75" s="138">
        <f ca="1">'Management and Hedging'!$R$34</f>
        <v>2.5919346055080732</v>
      </c>
      <c r="BM75" s="138">
        <f ca="1">'Management and Hedging'!$R$36</f>
        <v>-2.1312105104673718</v>
      </c>
      <c r="BN75" s="138">
        <f>'Management and Hedging'!$R$38</f>
        <v>-1.1865814872722835</v>
      </c>
      <c r="BO75" s="138">
        <f>INDEX(LINEST(BJ15:BJ75,'AC2'!$F15:$J75,1,1),1,1)</f>
        <v>2.3290828476620629</v>
      </c>
      <c r="BP75" s="138">
        <f>INDEX(LINEST(BK15:BK75,'AC2'!$F15:$J75,1,1),1,1)</f>
        <v>-2.5656747813120218</v>
      </c>
      <c r="BQ75" s="138">
        <f>INDEX(LINEST(BC15:BC75,'AC2'!$F15:$J75,1,1),1,1)</f>
        <v>-1.5867232555172039</v>
      </c>
      <c r="BR75" s="138"/>
      <c r="BS75" s="138"/>
      <c r="BT75" s="138"/>
      <c r="BU75" s="138"/>
      <c r="BV75" s="138"/>
      <c r="BW75" s="138"/>
      <c r="BX75" s="138"/>
      <c r="BY75" s="138"/>
      <c r="BZ75" s="138"/>
      <c r="CA75" s="138"/>
      <c r="CB75" s="138"/>
      <c r="CC75" s="138"/>
      <c r="CD75" s="138"/>
      <c r="CE75" s="138"/>
      <c r="CF75" s="138"/>
      <c r="CG75" s="138"/>
      <c r="CH75" s="138"/>
      <c r="CI75" s="138"/>
      <c r="CJ75" s="138"/>
      <c r="CK75" s="343">
        <f>CK74*(1+BA75+'Risk Factors'!$J75)</f>
        <v>0.17366448194265921</v>
      </c>
      <c r="CL75" s="343">
        <f>CL74*(1+BB75+'Risk Factors'!$J75)</f>
        <v>1.009631332442922</v>
      </c>
      <c r="CN75" s="343">
        <f t="shared" si="27"/>
        <v>0.14676337043652385</v>
      </c>
      <c r="CO75" s="343">
        <f t="shared" si="28"/>
        <v>0.85323662956347623</v>
      </c>
      <c r="CP75" s="418">
        <f t="shared" si="29"/>
        <v>1.1832958143855812</v>
      </c>
      <c r="CQ75" s="343">
        <f t="shared" si="31"/>
        <v>3.6261318456385583E-2</v>
      </c>
      <c r="CS75" s="92"/>
      <c r="CT75" s="260"/>
      <c r="CU75" s="260"/>
      <c r="CV75" s="260"/>
      <c r="CW75" s="260"/>
      <c r="CX75" s="260"/>
      <c r="CY75" s="260"/>
      <c r="CZ75" s="260"/>
      <c r="DB75" s="325"/>
      <c r="DC75" s="92"/>
      <c r="DD75" s="92"/>
      <c r="DE75" s="260"/>
      <c r="DF75" s="260"/>
      <c r="DG75" s="260"/>
      <c r="DH75" s="260"/>
      <c r="DI75" s="260"/>
    </row>
    <row r="76" spans="6:113">
      <c r="F76" s="421">
        <v>42460</v>
      </c>
      <c r="G76" s="92">
        <f>IF(Portfolios!$G$16="yes",SUM(T76:X76),AX76)</f>
        <v>9.4330345466732968E-2</v>
      </c>
      <c r="H76" s="138">
        <f>IF(IF(Portfolios!$J$10="no",'AC3'!Y76,'AC3'!AE76)=0,NA(),IF(Portfolios!$J$10="no",Y76,AE76))</f>
        <v>-0.99717436357959033</v>
      </c>
      <c r="I76" s="138">
        <f>IF(Portfolios!$J$11="no",NA(),IF(IF(Portfolios!$J$10="no",'AC3'!Z76,'AC3'!AF76)=0,NA(),IF(Portfolios!$J$10="no",Z76,AF76)))</f>
        <v>0.98069706797742628</v>
      </c>
      <c r="J76" s="138">
        <f>IF(Portfolios!$J$11="no",NA(),IF(IF(Portfolios!$J$10="no",'AC3'!AA76,'AC3'!AG76)=0,NA(),IF(Portfolios!$J$10="no",AA76,AG76)))</f>
        <v>0.26611491391203262</v>
      </c>
      <c r="K76" s="138">
        <f>IF(Portfolios!$J$11="no",NA(),IF(IF(Portfolios!$J$10="no",'AC3'!AB76,'AC3'!AH76)=0,NA(),IF(Portfolios!$J$10="no",AB76,AH76)))</f>
        <v>-2.5875505422331084</v>
      </c>
      <c r="L76" s="138">
        <f>IF(Portfolios!$J$11="no",NA(),IF(IF(Portfolios!$J$10="no",'AC3'!AC76,'AC3'!AI76)=0,NA(),IF(Portfolios!$J$10="no",AC76,AI76)))</f>
        <v>-1.3169038077250397</v>
      </c>
      <c r="M76" s="138">
        <f>IF(Portfolios!$J$11="no",NA(),IF(IF(Portfolios!$J$10="no",'AC3'!AD76,'AC3'!AJ76)=0,NA(),IF(Portfolios!$J$10="no",AD76,AJ76)))</f>
        <v>0.24740371609454295</v>
      </c>
      <c r="N76" s="92">
        <f>G76-'Risk Factors'!J76</f>
        <v>9.4130345466732962E-2</v>
      </c>
      <c r="O76" s="260">
        <f>HLOOKUP(O$1,'Asset Returns'!$F$1:$N$109,ROW(),0)-'Risk Factors'!$J76</f>
        <v>2.7146890419721605E-2</v>
      </c>
      <c r="P76" s="260">
        <f>HLOOKUP(P$1,'Asset Returns'!$F$1:$N$109,ROW(),0)-'Risk Factors'!$J76</f>
        <v>0.33245897631645205</v>
      </c>
      <c r="Q76" s="260">
        <f>HLOOKUP(Q$1,'Asset Returns'!$F$1:$N$109,ROW(),0)-'Risk Factors'!$J76</f>
        <v>5.8917045253515245E-2</v>
      </c>
      <c r="R76" s="260">
        <f>HLOOKUP(R$1,'Asset Returns'!$F$1:$N$109,ROW(),0)-'Risk Factors'!$J76</f>
        <v>3.135403956770897E-2</v>
      </c>
      <c r="S76" s="260">
        <f>HLOOKUP(S$1,'Asset Returns'!$F$1:$N$109,ROW(),0)-'Risk Factors'!$J76</f>
        <v>0.15544216673374175</v>
      </c>
      <c r="T76" s="260">
        <f>HLOOKUP(T$1,'Asset Returns'!$F$1:$N$109,ROW(),0)*Portfolios!$G$10</f>
        <v>2.7346890419721603E-3</v>
      </c>
      <c r="U76" s="260">
        <f>HLOOKUP(U$1,'Asset Returns'!$F$1:$N$109,ROW(),0)*Portfolios!$G$11</f>
        <v>3.3265897631645204E-2</v>
      </c>
      <c r="V76" s="260">
        <f>HLOOKUP(V$1,'Asset Returns'!$F$1:$N$109,ROW(),0)*Portfolios!$G$12</f>
        <v>1.7735113576054572E-2</v>
      </c>
      <c r="W76" s="260">
        <f>HLOOKUP(W$1,'Asset Returns'!$F$1:$N$109,ROW(),0)*Portfolios!$G$13</f>
        <v>9.4662118703126904E-3</v>
      </c>
      <c r="X76" s="260">
        <f>HLOOKUP(X$1,'Asset Returns'!$F$1:$N$109,ROW(),0)*Portfolios!$G$14</f>
        <v>3.1128433346748346E-2</v>
      </c>
      <c r="Y76" s="138">
        <f>Portfolios!$R$34</f>
        <v>-0.68211369708646341</v>
      </c>
      <c r="Z76" s="138">
        <f>Portfolios!$P$11</f>
        <v>0.9378377404978776</v>
      </c>
      <c r="AA76" s="138">
        <f>Portfolios!$P$12</f>
        <v>0.64097224418739052</v>
      </c>
      <c r="AB76" s="138">
        <f>Portfolios!$P$13</f>
        <v>-2.1312105104673718</v>
      </c>
      <c r="AC76" s="138">
        <f>Portfolios!$P$14</f>
        <v>-0.78557102570241866</v>
      </c>
      <c r="AD76" s="138">
        <f>Portfolios!$P$15</f>
        <v>0.17519882647973573</v>
      </c>
      <c r="AE76" s="183">
        <f>INDEX(LINEST(N16:N76,'AC2'!$F16:$J76,1,1),1,1)</f>
        <v>-0.99717436357959033</v>
      </c>
      <c r="AF76" s="183">
        <f>INDEX(LINEST(O16:O76,'AC2'!$F16:$J76,1,1),1,1)</f>
        <v>0.98069706797742628</v>
      </c>
      <c r="AG76" s="183">
        <f>INDEX(LINEST(P16:P76,'AC2'!$F16:$J76,1,1),1,1)</f>
        <v>0.26611491391203262</v>
      </c>
      <c r="AH76" s="183">
        <f>INDEX(LINEST(Q16:Q76,'AC2'!$F16:$J76,1,1),1,1)</f>
        <v>-2.5875505422331084</v>
      </c>
      <c r="AI76" s="183">
        <f>INDEX(LINEST(R16:R76,'AC2'!$F16:$J76,1,1),1,1)</f>
        <v>-1.3169038077250397</v>
      </c>
      <c r="AJ76" s="183">
        <f>INDEX(LINEST(S16:S76,'AC2'!$F16:$J76,1,1),1,1)</f>
        <v>0.24740371609454295</v>
      </c>
      <c r="AL76" s="343">
        <f>AL75*(1+O76+'Risk Factors'!$J76)</f>
        <v>6.8961435841590063E-2</v>
      </c>
      <c r="AM76" s="343">
        <f>AM75*(1+P76+'Risk Factors'!$J76)</f>
        <v>0.18459796554735639</v>
      </c>
      <c r="AN76" s="343">
        <f>AN75*(1+Q76+'Risk Factors'!$J76)</f>
        <v>0.35465258173934894</v>
      </c>
      <c r="AO76" s="343">
        <f>AO75*(1+R76+'Risk Factors'!$J76)</f>
        <v>0.43950686239648296</v>
      </c>
      <c r="AP76" s="343">
        <f>AP75*(1+S76+'Risk Factors'!$J76)</f>
        <v>0.2650316347532175</v>
      </c>
      <c r="AR76" s="343">
        <f t="shared" si="21"/>
        <v>5.253202103341556E-2</v>
      </c>
      <c r="AS76" s="343">
        <f t="shared" si="22"/>
        <v>0.14061923291642203</v>
      </c>
      <c r="AT76" s="343">
        <f t="shared" si="23"/>
        <v>0.27015993295561058</v>
      </c>
      <c r="AU76" s="343">
        <f t="shared" si="24"/>
        <v>0.33479847769959326</v>
      </c>
      <c r="AV76" s="343">
        <f t="shared" si="25"/>
        <v>0.20189033539495854</v>
      </c>
      <c r="AW76" s="418">
        <f t="shared" si="26"/>
        <v>1.3127504802779959</v>
      </c>
      <c r="AX76" s="343">
        <f t="shared" si="30"/>
        <v>9.7708238939334224E-2</v>
      </c>
      <c r="AZ76" s="421">
        <v>42460</v>
      </c>
      <c r="BA76" s="92">
        <f>HLOOKUP(BA$1,'AC4'!$F$1:$AC$109,ROW(),0)*'Management and Hedging'!$G$10</f>
        <v>1.9830420000000001E-2</v>
      </c>
      <c r="BB76" s="92">
        <f>HLOOKUP(BB$1,'AC4'!$F$1:$AC$109,ROW(),0)*'Management and Hedging'!$G$11</f>
        <v>4.7133636202812197E-2</v>
      </c>
      <c r="BC76" s="92">
        <f>IF('Management and Hedging'!$G$13="yes",BA76+BB76,CQ76)</f>
        <v>6.6964056202812205E-2</v>
      </c>
      <c r="BD76" s="138">
        <f>IF(IF('Management and Hedging'!$J$10="no",BL76,BO76)=0,NA(),IF('Management and Hedging'!$J$10="no",BL76,BO76))</f>
        <v>2.2803786829994439</v>
      </c>
      <c r="BE76" s="138">
        <f>IF(IF('Management and Hedging'!$J$10="no",BM76,BP76)=0,NA(),IF('Management and Hedging'!$J$10="no",BM76,BP76))</f>
        <v>-2.5875505422331084</v>
      </c>
      <c r="BF76" s="138">
        <f>IF(IF('Management and Hedging'!$J$10="no",BN76,BQ76)=0,NA(),IF('Management and Hedging'!$J$10="no",BN76,BQ76))</f>
        <v>-1.6139646971865986</v>
      </c>
      <c r="BG76" s="92">
        <f>IF('Management and Hedging'!$G$13="yes",BH76+BI76,CQ76)</f>
        <v>6.7164056202812197E-2</v>
      </c>
      <c r="BH76" s="92">
        <f>HLOOKUP(BH$1,'Asset Returns'!$F$1:$ZY$109,ROW(),0)*'Management and Hedging'!$G$10</f>
        <v>1.987042E-2</v>
      </c>
      <c r="BI76" s="92">
        <f>HLOOKUP(BI$1,'Asset Returns'!$F$1:$ZY$109,ROW(),0)*'Management and Hedging'!$G$11</f>
        <v>4.7293636202812198E-2</v>
      </c>
      <c r="BJ76" s="92">
        <f>HLOOKUP(BJ$1,'AC4'!$F$1:$AC$109,ROW(),0)</f>
        <v>9.9152099999999993E-2</v>
      </c>
      <c r="BK76" s="92">
        <f>HLOOKUP(BK$1,'AC4'!$F$1:$AC$109,ROW(),0)</f>
        <v>5.8917045253515245E-2</v>
      </c>
      <c r="BL76" s="138">
        <f ca="1">'Management and Hedging'!$R$34</f>
        <v>2.5919346055080732</v>
      </c>
      <c r="BM76" s="138">
        <f ca="1">'Management and Hedging'!$R$36</f>
        <v>-2.1312105104673718</v>
      </c>
      <c r="BN76" s="138">
        <f>'Management and Hedging'!$R$38</f>
        <v>-1.1865814872722835</v>
      </c>
      <c r="BO76" s="138">
        <f>INDEX(LINEST(BJ16:BJ76,'AC2'!$F16:$J76,1,1),1,1)</f>
        <v>2.2803786829994439</v>
      </c>
      <c r="BP76" s="138">
        <f>INDEX(LINEST(BK16:BK76,'AC2'!$F16:$J76,1,1),1,1)</f>
        <v>-2.5875505422331084</v>
      </c>
      <c r="BQ76" s="138">
        <f>INDEX(LINEST(BC16:BC76,'AC2'!$F16:$J76,1,1),1,1)</f>
        <v>-1.6139646971865986</v>
      </c>
      <c r="BR76" s="138"/>
      <c r="BS76" s="138"/>
      <c r="BT76" s="138"/>
      <c r="BU76" s="138"/>
      <c r="BV76" s="138"/>
      <c r="BW76" s="138"/>
      <c r="BX76" s="138"/>
      <c r="BY76" s="138"/>
      <c r="BZ76" s="138"/>
      <c r="CA76" s="138"/>
      <c r="CB76" s="138"/>
      <c r="CC76" s="138"/>
      <c r="CD76" s="138"/>
      <c r="CE76" s="138"/>
      <c r="CF76" s="138"/>
      <c r="CG76" s="138"/>
      <c r="CH76" s="138"/>
      <c r="CI76" s="138"/>
      <c r="CJ76" s="138"/>
      <c r="CK76" s="343">
        <f>CK75*(1+BA76+'Risk Factors'!$J76)</f>
        <v>0.17714305445505307</v>
      </c>
      <c r="CL76" s="343">
        <f>CL75*(1+BB76+'Risk Factors'!$J76)</f>
        <v>1.0574208546317359</v>
      </c>
      <c r="CN76" s="343">
        <f t="shared" si="27"/>
        <v>0.14348633809171238</v>
      </c>
      <c r="CO76" s="343">
        <f t="shared" si="28"/>
        <v>0.85651366190828748</v>
      </c>
      <c r="CP76" s="418">
        <f t="shared" si="29"/>
        <v>1.234563909086789</v>
      </c>
      <c r="CQ76" s="343">
        <f t="shared" si="31"/>
        <v>4.332652416913052E-2</v>
      </c>
      <c r="CS76" s="92"/>
      <c r="CT76" s="260"/>
      <c r="CU76" s="260"/>
      <c r="CV76" s="260"/>
      <c r="CW76" s="260"/>
      <c r="CX76" s="260"/>
      <c r="CY76" s="260"/>
      <c r="CZ76" s="260"/>
      <c r="DB76" s="325"/>
      <c r="DC76" s="92"/>
      <c r="DD76" s="92"/>
      <c r="DE76" s="260"/>
      <c r="DF76" s="260"/>
      <c r="DG76" s="260"/>
      <c r="DH76" s="260"/>
      <c r="DI76" s="260"/>
    </row>
    <row r="77" spans="6:113">
      <c r="F77" s="421">
        <v>42490</v>
      </c>
      <c r="G77" s="92">
        <f>IF(Portfolios!$G$16="yes",SUM(T77:X77),AX77)</f>
        <v>1.0021725110709669E-2</v>
      </c>
      <c r="H77" s="138">
        <f>IF(IF(Portfolios!$J$10="no",'AC3'!Y77,'AC3'!AE77)=0,NA(),IF(Portfolios!$J$10="no",Y77,AE77))</f>
        <v>-1.0357931710952317</v>
      </c>
      <c r="I77" s="138">
        <f>IF(Portfolios!$J$11="no",NA(),IF(IF(Portfolios!$J$10="no",'AC3'!Z77,'AC3'!AF77)=0,NA(),IF(Portfolios!$J$10="no",Z77,AF77)))</f>
        <v>1.0318645884795115</v>
      </c>
      <c r="J77" s="138">
        <f>IF(Portfolios!$J$11="no",NA(),IF(IF(Portfolios!$J$10="no",'AC3'!AA77,'AC3'!AG77)=0,NA(),IF(Portfolios!$J$10="no",AA77,AG77)))</f>
        <v>0.18801138978550941</v>
      </c>
      <c r="K77" s="138">
        <f>IF(Portfolios!$J$11="no",NA(),IF(IF(Portfolios!$J$10="no",'AC3'!AB77,'AC3'!AH77)=0,NA(),IF(Portfolios!$J$10="no",AB77,AH77)))</f>
        <v>-2.6934911762780689</v>
      </c>
      <c r="L77" s="138">
        <f>IF(Portfolios!$J$11="no",NA(),IF(IF(Portfolios!$J$10="no",'AC3'!AC77,'AC3'!AI77)=0,NA(),IF(Portfolios!$J$10="no",AC77,AI77)))</f>
        <v>-1.2759839221446263</v>
      </c>
      <c r="M77" s="138">
        <f>IF(Portfolios!$J$11="no",NA(),IF(IF(Portfolios!$J$10="no",'AC3'!AD77,'AC3'!AJ77)=0,NA(),IF(Portfolios!$J$10="no",AD77,AJ77)))</f>
        <v>0.16530880302537224</v>
      </c>
      <c r="N77" s="92">
        <f>G77-'Risk Factors'!J77</f>
        <v>9.9217251107096699E-3</v>
      </c>
      <c r="O77" s="260">
        <f>HLOOKUP(O$1,'Asset Returns'!$F$1:$N$109,ROW(),0)-'Risk Factors'!$J77</f>
        <v>8.7698930704593656E-2</v>
      </c>
      <c r="P77" s="260">
        <f>HLOOKUP(P$1,'Asset Returns'!$F$1:$N$109,ROW(),0)-'Risk Factors'!$J77</f>
        <v>5.4347613656520841E-2</v>
      </c>
      <c r="Q77" s="260">
        <f>HLOOKUP(Q$1,'Asset Returns'!$F$1:$N$109,ROW(),0)-'Risk Factors'!$J77</f>
        <v>1.2434742243587971E-2</v>
      </c>
      <c r="R77" s="260">
        <f>HLOOKUP(R$1,'Asset Returns'!$F$1:$N$109,ROW(),0)-'Risk Factors'!$J77</f>
        <v>-2.3234125062823294E-3</v>
      </c>
      <c r="S77" s="260">
        <f>HLOOKUP(S$1,'Asset Returns'!$F$1:$N$109,ROW(),0)-'Risk Factors'!$J77</f>
        <v>-3.658164123296738E-2</v>
      </c>
      <c r="T77" s="260">
        <f>HLOOKUP(T$1,'Asset Returns'!$F$1:$N$109,ROW(),0)*Portfolios!$G$10</f>
        <v>8.7798930704593662E-3</v>
      </c>
      <c r="U77" s="260">
        <f>HLOOKUP(U$1,'Asset Returns'!$F$1:$N$109,ROW(),0)*Portfolios!$G$11</f>
        <v>5.4447613656520844E-3</v>
      </c>
      <c r="V77" s="260">
        <f>HLOOKUP(V$1,'Asset Returns'!$F$1:$N$109,ROW(),0)*Portfolios!$G$12</f>
        <v>3.7604226730763909E-3</v>
      </c>
      <c r="W77" s="260">
        <f>HLOOKUP(W$1,'Asset Returns'!$F$1:$N$109,ROW(),0)*Portfolios!$G$13</f>
        <v>-6.670237518846988E-4</v>
      </c>
      <c r="X77" s="260">
        <f>HLOOKUP(X$1,'Asset Returns'!$F$1:$N$109,ROW(),0)*Portfolios!$G$14</f>
        <v>-7.2963282465934734E-3</v>
      </c>
      <c r="Y77" s="138">
        <f>Portfolios!$R$34</f>
        <v>-0.68211369708646341</v>
      </c>
      <c r="Z77" s="138">
        <f>Portfolios!$P$11</f>
        <v>0.9378377404978776</v>
      </c>
      <c r="AA77" s="138">
        <f>Portfolios!$P$12</f>
        <v>0.64097224418739052</v>
      </c>
      <c r="AB77" s="138">
        <f>Portfolios!$P$13</f>
        <v>-2.1312105104673718</v>
      </c>
      <c r="AC77" s="138">
        <f>Portfolios!$P$14</f>
        <v>-0.78557102570241866</v>
      </c>
      <c r="AD77" s="138">
        <f>Portfolios!$P$15</f>
        <v>0.17519882647973573</v>
      </c>
      <c r="AE77" s="183">
        <f>INDEX(LINEST(N17:N77,'AC2'!$F17:$J77,1,1),1,1)</f>
        <v>-1.0357931710952317</v>
      </c>
      <c r="AF77" s="183">
        <f>INDEX(LINEST(O17:O77,'AC2'!$F17:$J77,1,1),1,1)</f>
        <v>1.0318645884795115</v>
      </c>
      <c r="AG77" s="183">
        <f>INDEX(LINEST(P17:P77,'AC2'!$F17:$J77,1,1),1,1)</f>
        <v>0.18801138978550941</v>
      </c>
      <c r="AH77" s="183">
        <f>INDEX(LINEST(Q17:Q77,'AC2'!$F17:$J77,1,1),1,1)</f>
        <v>-2.6934911762780689</v>
      </c>
      <c r="AI77" s="183">
        <f>INDEX(LINEST(R17:R77,'AC2'!$F17:$J77,1,1),1,1)</f>
        <v>-1.2759839221446263</v>
      </c>
      <c r="AJ77" s="183">
        <f>INDEX(LINEST(S17:S77,'AC2'!$F17:$J77,1,1),1,1)</f>
        <v>0.16530880302537224</v>
      </c>
      <c r="AL77" s="343">
        <f>AL76*(1+O77+'Risk Factors'!$J77)</f>
        <v>7.5016176168335114E-2</v>
      </c>
      <c r="AM77" s="343">
        <f>AM76*(1+P77+'Risk Factors'!$J77)</f>
        <v>0.1946488842572586</v>
      </c>
      <c r="AN77" s="343">
        <f>AN76*(1+Q77+'Risk Factors'!$J77)</f>
        <v>0.35909806043747466</v>
      </c>
      <c r="AO77" s="343">
        <f>AO76*(1+R77+'Risk Factors'!$J77)</f>
        <v>0.4385296573420337</v>
      </c>
      <c r="AP77" s="343">
        <f>AP76*(1+S77+'Risk Factors'!$J77)</f>
        <v>0.25536284573876378</v>
      </c>
      <c r="AR77" s="343">
        <f t="shared" si="21"/>
        <v>5.67163325134123E-2</v>
      </c>
      <c r="AS77" s="343">
        <f t="shared" si="22"/>
        <v>0.14716520365056082</v>
      </c>
      <c r="AT77" s="343">
        <f t="shared" si="23"/>
        <v>0.27149777609286069</v>
      </c>
      <c r="AU77" s="343">
        <f t="shared" si="24"/>
        <v>0.33155240820315379</v>
      </c>
      <c r="AV77" s="343">
        <f t="shared" si="25"/>
        <v>0.19306827954001238</v>
      </c>
      <c r="AW77" s="418">
        <f t="shared" si="26"/>
        <v>1.3226556239438658</v>
      </c>
      <c r="AX77" s="343">
        <f t="shared" si="30"/>
        <v>7.5453361584543188E-3</v>
      </c>
      <c r="AZ77" s="421">
        <v>42490</v>
      </c>
      <c r="BA77" s="92">
        <f>HLOOKUP(BA$1,'AC4'!$F$1:$AC$109,ROW(),0)*'Management and Hedging'!$G$10</f>
        <v>6.32413E-2</v>
      </c>
      <c r="BB77" s="92">
        <f>HLOOKUP(BB$1,'AC4'!$F$1:$AC$109,ROW(),0)*'Management and Hedging'!$G$11</f>
        <v>9.9477937948703778E-3</v>
      </c>
      <c r="BC77" s="92">
        <f>IF('Management and Hedging'!$G$13="yes",BA77+BB77,CQ77)</f>
        <v>7.3189093794870375E-2</v>
      </c>
      <c r="BD77" s="138">
        <f>IF(IF('Management and Hedging'!$J$10="no",BL77,BO77)=0,NA(),IF('Management and Hedging'!$J$10="no",BL77,BO77))</f>
        <v>2.5454166872197321</v>
      </c>
      <c r="BE77" s="138">
        <f>IF(IF('Management and Hedging'!$J$10="no",BM77,BP77)=0,NA(),IF('Management and Hedging'!$J$10="no",BM77,BP77))</f>
        <v>-2.6934911762780689</v>
      </c>
      <c r="BF77" s="138">
        <f>IF(IF('Management and Hedging'!$J$10="no",BN77,BQ77)=0,NA(),IF('Management and Hedging'!$J$10="no",BN77,BQ77))</f>
        <v>-1.6457096035785077</v>
      </c>
      <c r="BG77" s="92">
        <f>IF('Management and Hedging'!$G$13="yes",BH77+BI77,CQ77)</f>
        <v>7.3289093794870391E-2</v>
      </c>
      <c r="BH77" s="92">
        <f>HLOOKUP(BH$1,'Asset Returns'!$F$1:$ZY$109,ROW(),0)*'Management and Hedging'!$G$10</f>
        <v>6.3261300000000006E-2</v>
      </c>
      <c r="BI77" s="92">
        <f>HLOOKUP(BI$1,'Asset Returns'!$F$1:$ZY$109,ROW(),0)*'Management and Hedging'!$G$11</f>
        <v>1.0027793794870378E-2</v>
      </c>
      <c r="BJ77" s="92">
        <f>HLOOKUP(BJ$1,'AC4'!$F$1:$AC$109,ROW(),0)</f>
        <v>0.3162065</v>
      </c>
      <c r="BK77" s="92">
        <f>HLOOKUP(BK$1,'AC4'!$F$1:$AC$109,ROW(),0)</f>
        <v>1.2434742243587971E-2</v>
      </c>
      <c r="BL77" s="138">
        <f ca="1">'Management and Hedging'!$R$34</f>
        <v>2.5919346055080732</v>
      </c>
      <c r="BM77" s="138">
        <f ca="1">'Management and Hedging'!$R$36</f>
        <v>-2.1312105104673718</v>
      </c>
      <c r="BN77" s="138">
        <f>'Management and Hedging'!$R$38</f>
        <v>-1.1865814872722835</v>
      </c>
      <c r="BO77" s="138">
        <f>INDEX(LINEST(BJ17:BJ77,'AC2'!$F17:$J77,1,1),1,1)</f>
        <v>2.5454166872197321</v>
      </c>
      <c r="BP77" s="138">
        <f>INDEX(LINEST(BK17:BK77,'AC2'!$F17:$J77,1,1),1,1)</f>
        <v>-2.6934911762780689</v>
      </c>
      <c r="BQ77" s="138">
        <f>INDEX(LINEST(BC17:BC77,'AC2'!$F17:$J77,1,1),1,1)</f>
        <v>-1.6457096035785077</v>
      </c>
      <c r="BR77" s="138"/>
      <c r="BS77" s="138"/>
      <c r="BT77" s="138"/>
      <c r="BU77" s="138"/>
      <c r="BV77" s="138"/>
      <c r="BW77" s="138"/>
      <c r="BX77" s="138"/>
      <c r="BY77" s="138"/>
      <c r="BZ77" s="138"/>
      <c r="CA77" s="138"/>
      <c r="CB77" s="138"/>
      <c r="CC77" s="138"/>
      <c r="CD77" s="138"/>
      <c r="CE77" s="138"/>
      <c r="CF77" s="138"/>
      <c r="CG77" s="138"/>
      <c r="CH77" s="138"/>
      <c r="CI77" s="138"/>
      <c r="CJ77" s="138"/>
      <c r="CK77" s="343">
        <f>CK76*(1+BA77+'Risk Factors'!$J77)</f>
        <v>0.18836352581020693</v>
      </c>
      <c r="CL77" s="343">
        <f>CL76*(1+BB77+'Risk Factors'!$J77)</f>
        <v>1.0680456013334712</v>
      </c>
      <c r="CN77" s="343">
        <f t="shared" si="27"/>
        <v>0.14992212468117991</v>
      </c>
      <c r="CO77" s="343">
        <f t="shared" si="28"/>
        <v>0.85007787531882006</v>
      </c>
      <c r="CP77" s="418">
        <f t="shared" si="29"/>
        <v>1.2564091271436781</v>
      </c>
      <c r="CQ77" s="343">
        <f t="shared" si="31"/>
        <v>1.7694683844312387E-2</v>
      </c>
      <c r="CS77" s="92"/>
      <c r="CT77" s="260"/>
      <c r="CU77" s="260"/>
      <c r="CV77" s="260"/>
      <c r="CW77" s="260"/>
      <c r="CX77" s="260"/>
      <c r="CY77" s="260"/>
      <c r="CZ77" s="260"/>
      <c r="DB77" s="325"/>
      <c r="DC77" s="92"/>
      <c r="DD77" s="92"/>
      <c r="DE77" s="260"/>
      <c r="DF77" s="260"/>
      <c r="DG77" s="260"/>
      <c r="DH77" s="260"/>
      <c r="DI77" s="260"/>
    </row>
    <row r="78" spans="6:113">
      <c r="F78" s="421">
        <v>42521</v>
      </c>
      <c r="G78" s="92">
        <f>IF(Portfolios!$G$16="yes",SUM(T78:X78),AX78)</f>
        <v>1.6936893807724115E-2</v>
      </c>
      <c r="H78" s="138">
        <f>IF(IF(Portfolios!$J$10="no",'AC3'!Y78,'AC3'!AE78)=0,NA(),IF(Portfolios!$J$10="no",Y78,AE78))</f>
        <v>-1.0948118480868321</v>
      </c>
      <c r="I78" s="138">
        <f>IF(Portfolios!$J$11="no",NA(),IF(IF(Portfolios!$J$10="no",'AC3'!Z78,'AC3'!AF78)=0,NA(),IF(Portfolios!$J$10="no",Z78,AF78)))</f>
        <v>1.0492317027923797</v>
      </c>
      <c r="J78" s="138">
        <f>IF(Portfolios!$J$11="no",NA(),IF(IF(Portfolios!$J$10="no",'AC3'!AA78,'AC3'!AG78)=0,NA(),IF(Portfolios!$J$10="no",AA78,AG78)))</f>
        <v>9.0574933319140946E-2</v>
      </c>
      <c r="K78" s="138">
        <f>IF(Portfolios!$J$11="no",NA(),IF(IF(Portfolios!$J$10="no",'AC3'!AB78,'AC3'!AH78)=0,NA(),IF(Portfolios!$J$10="no",AB78,AH78)))</f>
        <v>-2.8345991991390576</v>
      </c>
      <c r="L78" s="138">
        <f>IF(Portfolios!$J$11="no",NA(),IF(IF(Portfolios!$J$10="no",'AC3'!AC78,'AC3'!AI78)=0,NA(),IF(Portfolios!$J$10="no",AC78,AI78)))</f>
        <v>-1.2980987066797958</v>
      </c>
      <c r="M78" s="138">
        <f>IF(Portfolios!$J$11="no",NA(),IF(IF(Portfolios!$J$10="no",'AC3'!AD78,'AC3'!AJ78)=0,NA(),IF(Portfolios!$J$10="no",AD78,AJ78)))</f>
        <v>0.15508430023835462</v>
      </c>
      <c r="N78" s="92">
        <f>G78-'Risk Factors'!J78</f>
        <v>1.6836893807724115E-2</v>
      </c>
      <c r="O78" s="260">
        <f>HLOOKUP(O$1,'Asset Returns'!$F$1:$N$109,ROW(),0)-'Risk Factors'!$J78</f>
        <v>-3.2151544636487964E-2</v>
      </c>
      <c r="P78" s="260">
        <f>HLOOKUP(P$1,'Asset Returns'!$F$1:$N$109,ROW(),0)-'Risk Factors'!$J78</f>
        <v>0.1094508337020874</v>
      </c>
      <c r="Q78" s="260">
        <f>HLOOKUP(Q$1,'Asset Returns'!$F$1:$N$109,ROW(),0)-'Risk Factors'!$J78</f>
        <v>1.6255819402635097E-3</v>
      </c>
      <c r="R78" s="260">
        <f>HLOOKUP(R$1,'Asset Returns'!$F$1:$N$109,ROW(),0)-'Risk Factors'!$J78</f>
        <v>-1.3442160731554031E-2</v>
      </c>
      <c r="S78" s="260">
        <f>HLOOKUP(S$1,'Asset Returns'!$F$1:$N$109,ROW(),0)-'Risk Factors'!$J78</f>
        <v>6.325969269275665E-2</v>
      </c>
      <c r="T78" s="260">
        <f>HLOOKUP(T$1,'Asset Returns'!$F$1:$N$109,ROW(),0)*Portfolios!$G$10</f>
        <v>-3.2051544636487964E-3</v>
      </c>
      <c r="U78" s="260">
        <f>HLOOKUP(U$1,'Asset Returns'!$F$1:$N$109,ROW(),0)*Portfolios!$G$11</f>
        <v>1.0955083370208741E-2</v>
      </c>
      <c r="V78" s="260">
        <f>HLOOKUP(V$1,'Asset Returns'!$F$1:$N$109,ROW(),0)*Portfolios!$G$12</f>
        <v>5.176745820790529E-4</v>
      </c>
      <c r="W78" s="260">
        <f>HLOOKUP(W$1,'Asset Returns'!$F$1:$N$109,ROW(),0)*Portfolios!$G$13</f>
        <v>-4.0026482194662092E-3</v>
      </c>
      <c r="X78" s="260">
        <f>HLOOKUP(X$1,'Asset Returns'!$F$1:$N$109,ROW(),0)*Portfolios!$G$14</f>
        <v>1.2671938538551327E-2</v>
      </c>
      <c r="Y78" s="138">
        <f>Portfolios!$R$34</f>
        <v>-0.68211369708646341</v>
      </c>
      <c r="Z78" s="138">
        <f>Portfolios!$P$11</f>
        <v>0.9378377404978776</v>
      </c>
      <c r="AA78" s="138">
        <f>Portfolios!$P$12</f>
        <v>0.64097224418739052</v>
      </c>
      <c r="AB78" s="138">
        <f>Portfolios!$P$13</f>
        <v>-2.1312105104673718</v>
      </c>
      <c r="AC78" s="138">
        <f>Portfolios!$P$14</f>
        <v>-0.78557102570241866</v>
      </c>
      <c r="AD78" s="138">
        <f>Portfolios!$P$15</f>
        <v>0.17519882647973573</v>
      </c>
      <c r="AE78" s="183">
        <f>INDEX(LINEST(N18:N78,'AC2'!$F18:$J78,1,1),1,1)</f>
        <v>-1.0948118480868321</v>
      </c>
      <c r="AF78" s="183">
        <f>INDEX(LINEST(O18:O78,'AC2'!$F18:$J78,1,1),1,1)</f>
        <v>1.0492317027923797</v>
      </c>
      <c r="AG78" s="183">
        <f>INDEX(LINEST(P18:P78,'AC2'!$F18:$J78,1,1),1,1)</f>
        <v>9.0574933319140946E-2</v>
      </c>
      <c r="AH78" s="183">
        <f>INDEX(LINEST(Q18:Q78,'AC2'!$F18:$J78,1,1),1,1)</f>
        <v>-2.8345991991390576</v>
      </c>
      <c r="AI78" s="183">
        <f>INDEX(LINEST(R18:R78,'AC2'!$F18:$J78,1,1),1,1)</f>
        <v>-1.2980987066797958</v>
      </c>
      <c r="AJ78" s="183">
        <f>INDEX(LINEST(S18:S78,'AC2'!$F18:$J78,1,1),1,1)</f>
        <v>0.15508430023835462</v>
      </c>
      <c r="AL78" s="343">
        <f>AL77*(1+O78+'Risk Factors'!$J78)</f>
        <v>7.2611791849417073E-2</v>
      </c>
      <c r="AM78" s="343">
        <f>AM77*(1+P78+'Risk Factors'!$J78)</f>
        <v>0.21597283180682239</v>
      </c>
      <c r="AN78" s="343">
        <f>AN77*(1+Q78+'Risk Factors'!$J78)</f>
        <v>0.35971771356534921</v>
      </c>
      <c r="AO78" s="343">
        <f>AO77*(1+R78+'Risk Factors'!$J78)</f>
        <v>0.43267872416822295</v>
      </c>
      <c r="AP78" s="343">
        <f>AP77*(1+S78+'Risk Factors'!$J78)</f>
        <v>0.27154255716991965</v>
      </c>
      <c r="AR78" s="343">
        <f t="shared" si="21"/>
        <v>5.3686154424970087E-2</v>
      </c>
      <c r="AS78" s="343">
        <f t="shared" si="22"/>
        <v>0.15968137549923636</v>
      </c>
      <c r="AT78" s="343">
        <f t="shared" si="23"/>
        <v>0.26596039331897481</v>
      </c>
      <c r="AU78" s="343">
        <f t="shared" si="24"/>
        <v>0.31990474564057647</v>
      </c>
      <c r="AV78" s="343">
        <f t="shared" si="25"/>
        <v>0.2007673311162422</v>
      </c>
      <c r="AW78" s="418">
        <f t="shared" si="26"/>
        <v>1.3525236185597314</v>
      </c>
      <c r="AX78" s="343">
        <f t="shared" si="30"/>
        <v>2.2581837687126516E-2</v>
      </c>
      <c r="AZ78" s="421">
        <v>42521</v>
      </c>
      <c r="BA78" s="92">
        <f>HLOOKUP(BA$1,'AC4'!$F$1:$AC$109,ROW(),0)*'Management and Hedging'!$G$10</f>
        <v>-2.1095599999999999E-3</v>
      </c>
      <c r="BB78" s="92">
        <f>HLOOKUP(BB$1,'AC4'!$F$1:$AC$109,ROW(),0)*'Management and Hedging'!$G$11</f>
        <v>1.3004655522108079E-3</v>
      </c>
      <c r="BC78" s="92">
        <f>IF('Management and Hedging'!$G$13="yes",BA78+BB78,CQ78)</f>
        <v>-8.0909444778919201E-4</v>
      </c>
      <c r="BD78" s="138">
        <f>IF(IF('Management and Hedging'!$J$10="no",BL78,BO78)=0,NA(),IF('Management and Hedging'!$J$10="no",BL78,BO78))</f>
        <v>2.5601842697488149</v>
      </c>
      <c r="BE78" s="138">
        <f>IF(IF('Management and Hedging'!$J$10="no",BM78,BP78)=0,NA(),IF('Management and Hedging'!$J$10="no",BM78,BP78))</f>
        <v>-2.8345991991390576</v>
      </c>
      <c r="BF78" s="138">
        <f>IF(IF('Management and Hedging'!$J$10="no",BN78,BQ78)=0,NA(),IF('Management and Hedging'!$J$10="no",BN78,BQ78))</f>
        <v>-1.7556425053614826</v>
      </c>
      <c r="BG78" s="92">
        <f>IF('Management and Hedging'!$G$13="yes",BH78+BI78,CQ78)</f>
        <v>-7.090944477891924E-4</v>
      </c>
      <c r="BH78" s="92">
        <f>HLOOKUP(BH$1,'Asset Returns'!$F$1:$ZY$109,ROW(),0)*'Management and Hedging'!$G$10</f>
        <v>-2.0895600000000003E-3</v>
      </c>
      <c r="BI78" s="92">
        <f>HLOOKUP(BI$1,'Asset Returns'!$F$1:$ZY$109,ROW(),0)*'Management and Hedging'!$G$11</f>
        <v>1.3804655522108079E-3</v>
      </c>
      <c r="BJ78" s="92">
        <f>HLOOKUP(BJ$1,'AC4'!$F$1:$AC$109,ROW(),0)</f>
        <v>-1.05478E-2</v>
      </c>
      <c r="BK78" s="92">
        <f>HLOOKUP(BK$1,'AC4'!$F$1:$AC$109,ROW(),0)</f>
        <v>1.6255819402635097E-3</v>
      </c>
      <c r="BL78" s="138">
        <f ca="1">'Management and Hedging'!$R$34</f>
        <v>2.5919346055080732</v>
      </c>
      <c r="BM78" s="138">
        <f ca="1">'Management and Hedging'!$R$36</f>
        <v>-2.1312105104673718</v>
      </c>
      <c r="BN78" s="138">
        <f>'Management and Hedging'!$R$38</f>
        <v>-1.1865814872722835</v>
      </c>
      <c r="BO78" s="138">
        <f>INDEX(LINEST(BJ18:BJ78,'AC2'!$F18:$J78,1,1),1,1)</f>
        <v>2.5601842697488149</v>
      </c>
      <c r="BP78" s="138">
        <f>INDEX(LINEST(BK18:BK78,'AC2'!$F18:$J78,1,1),1,1)</f>
        <v>-2.8345991991390576</v>
      </c>
      <c r="BQ78" s="138">
        <f>INDEX(LINEST(BC18:BC78,'AC2'!$F18:$J78,1,1),1,1)</f>
        <v>-1.7556425053614826</v>
      </c>
      <c r="BR78" s="138"/>
      <c r="BS78" s="138"/>
      <c r="BT78" s="138"/>
      <c r="BU78" s="138"/>
      <c r="BV78" s="138"/>
      <c r="BW78" s="138"/>
      <c r="BX78" s="138"/>
      <c r="BY78" s="138"/>
      <c r="BZ78" s="138"/>
      <c r="CA78" s="138"/>
      <c r="CB78" s="138"/>
      <c r="CC78" s="138"/>
      <c r="CD78" s="138"/>
      <c r="CE78" s="138"/>
      <c r="CF78" s="138"/>
      <c r="CG78" s="138"/>
      <c r="CH78" s="138"/>
      <c r="CI78" s="138"/>
      <c r="CJ78" s="138"/>
      <c r="CK78" s="343">
        <f>CK77*(1+BA78+'Risk Factors'!$J78)</f>
        <v>0.18798499800327978</v>
      </c>
      <c r="CL78" s="343">
        <f>CL77*(1+BB78+'Risk Factors'!$J78)</f>
        <v>1.069541362406329</v>
      </c>
      <c r="CN78" s="343">
        <f t="shared" si="27"/>
        <v>0.1494879184417639</v>
      </c>
      <c r="CO78" s="343">
        <f t="shared" si="28"/>
        <v>0.8505120815582361</v>
      </c>
      <c r="CP78" s="418">
        <f t="shared" si="29"/>
        <v>1.2575263604096087</v>
      </c>
      <c r="CQ78" s="343">
        <f t="shared" si="31"/>
        <v>8.89227276206217E-4</v>
      </c>
      <c r="CS78" s="92"/>
      <c r="CT78" s="260"/>
      <c r="CU78" s="260"/>
      <c r="CV78" s="260"/>
      <c r="CW78" s="260"/>
      <c r="CX78" s="260"/>
      <c r="CY78" s="260"/>
      <c r="CZ78" s="260"/>
      <c r="DB78" s="325"/>
      <c r="DC78" s="92"/>
      <c r="DD78" s="92"/>
      <c r="DE78" s="260"/>
      <c r="DF78" s="260"/>
      <c r="DG78" s="260"/>
      <c r="DH78" s="260"/>
      <c r="DI78" s="260"/>
    </row>
    <row r="79" spans="6:113">
      <c r="F79" s="421">
        <v>42551</v>
      </c>
      <c r="G79" s="92">
        <f>IF(Portfolios!$G$16="yes",SUM(T79:X79),AX79)</f>
        <v>-2.4418483953922984E-2</v>
      </c>
      <c r="H79" s="138">
        <f>IF(IF(Portfolios!$J$10="no",'AC3'!Y79,'AC3'!AE79)=0,NA(),IF(Portfolios!$J$10="no",Y79,AE79))</f>
        <v>-0.98163648158261707</v>
      </c>
      <c r="I79" s="138">
        <f>IF(Portfolios!$J$11="no",NA(),IF(IF(Portfolios!$J$10="no",'AC3'!Z79,'AC3'!AF79)=0,NA(),IF(Portfolios!$J$10="no",Z79,AF79)))</f>
        <v>1.3282294061181859</v>
      </c>
      <c r="J79" s="138">
        <f>IF(Portfolios!$J$11="no",NA(),IF(IF(Portfolios!$J$10="no",'AC3'!AA79,'AC3'!AG79)=0,NA(),IF(Portfolios!$J$10="no",AA79,AG79)))</f>
        <v>0.27866850190024245</v>
      </c>
      <c r="K79" s="138">
        <f>IF(Portfolios!$J$11="no",NA(),IF(IF(Portfolios!$J$10="no",'AC3'!AB79,'AC3'!AH79)=0,NA(),IF(Portfolios!$J$10="no",AB79,AH79)))</f>
        <v>-2.6352760714881258</v>
      </c>
      <c r="L79" s="138">
        <f>IF(Portfolios!$J$11="no",NA(),IF(IF(Portfolios!$J$10="no",'AC3'!AC79,'AC3'!AI79)=0,NA(),IF(Portfolios!$J$10="no",AC79,AI79)))</f>
        <v>-1.2773496776663997</v>
      </c>
      <c r="M79" s="138">
        <f>IF(Portfolios!$J$11="no",NA(),IF(IF(Portfolios!$J$10="no",'AC3'!AD79,'AC3'!AJ79)=0,NA(),IF(Portfolios!$J$10="no",AD79,AJ79)))</f>
        <v>0.15730726180948901</v>
      </c>
      <c r="N79" s="92">
        <f>G79-'Risk Factors'!J79</f>
        <v>-2.4618483953922982E-2</v>
      </c>
      <c r="O79" s="260">
        <f>HLOOKUP(O$1,'Asset Returns'!$F$1:$N$109,ROW(),0)-'Risk Factors'!$J79</f>
        <v>0.1260255311012268</v>
      </c>
      <c r="P79" s="260">
        <f>HLOOKUP(P$1,'Asset Returns'!$F$1:$N$109,ROW(),0)-'Risk Factors'!$J79</f>
        <v>-4.3786348447203633E-3</v>
      </c>
      <c r="Q79" s="260">
        <f>HLOOKUP(Q$1,'Asset Returns'!$F$1:$N$109,ROW(),0)-'Risk Factors'!$J79</f>
        <v>-5.7846643370389937E-2</v>
      </c>
      <c r="R79" s="260">
        <f>HLOOKUP(R$1,'Asset Returns'!$F$1:$N$109,ROW(),0)-'Risk Factors'!$J79</f>
        <v>-5.5998076093196868E-2</v>
      </c>
      <c r="S79" s="260">
        <f>HLOOKUP(S$1,'Asset Returns'!$F$1:$N$109,ROW(),0)-'Risk Factors'!$J79</f>
        <v>-1.3148788702487946E-2</v>
      </c>
      <c r="T79" s="260">
        <f>HLOOKUP(T$1,'Asset Returns'!$F$1:$N$109,ROW(),0)*Portfolios!$G$10</f>
        <v>1.2622553110122682E-2</v>
      </c>
      <c r="U79" s="260">
        <f>HLOOKUP(U$1,'Asset Returns'!$F$1:$N$109,ROW(),0)*Portfolios!$G$11</f>
        <v>-4.1786348447203636E-4</v>
      </c>
      <c r="V79" s="260">
        <f>HLOOKUP(V$1,'Asset Returns'!$F$1:$N$109,ROW(),0)*Portfolios!$G$12</f>
        <v>-1.7293993011116979E-2</v>
      </c>
      <c r="W79" s="260">
        <f>HLOOKUP(W$1,'Asset Returns'!$F$1:$N$109,ROW(),0)*Portfolios!$G$13</f>
        <v>-1.6739422827959059E-2</v>
      </c>
      <c r="X79" s="260">
        <f>HLOOKUP(X$1,'Asset Returns'!$F$1:$N$109,ROW(),0)*Portfolios!$G$14</f>
        <v>-2.5897577404975884E-3</v>
      </c>
      <c r="Y79" s="138">
        <f>Portfolios!$R$34</f>
        <v>-0.68211369708646341</v>
      </c>
      <c r="Z79" s="138">
        <f>Portfolios!$P$11</f>
        <v>0.9378377404978776</v>
      </c>
      <c r="AA79" s="138">
        <f>Portfolios!$P$12</f>
        <v>0.64097224418739052</v>
      </c>
      <c r="AB79" s="138">
        <f>Portfolios!$P$13</f>
        <v>-2.1312105104673718</v>
      </c>
      <c r="AC79" s="138">
        <f>Portfolios!$P$14</f>
        <v>-0.78557102570241866</v>
      </c>
      <c r="AD79" s="138">
        <f>Portfolios!$P$15</f>
        <v>0.17519882647973573</v>
      </c>
      <c r="AE79" s="183">
        <f>INDEX(LINEST(N19:N79,'AC2'!$F19:$J79,1,1),1,1)</f>
        <v>-0.98163648158261707</v>
      </c>
      <c r="AF79" s="183">
        <f>INDEX(LINEST(O19:O79,'AC2'!$F19:$J79,1,1),1,1)</f>
        <v>1.3282294061181859</v>
      </c>
      <c r="AG79" s="183">
        <f>INDEX(LINEST(P19:P79,'AC2'!$F19:$J79,1,1),1,1)</f>
        <v>0.27866850190024245</v>
      </c>
      <c r="AH79" s="183">
        <f>INDEX(LINEST(Q19:Q79,'AC2'!$F19:$J79,1,1),1,1)</f>
        <v>-2.6352760714881258</v>
      </c>
      <c r="AI79" s="183">
        <f>INDEX(LINEST(R19:R79,'AC2'!$F19:$J79,1,1),1,1)</f>
        <v>-1.2773496776663997</v>
      </c>
      <c r="AJ79" s="183">
        <f>INDEX(LINEST(S19:S79,'AC2'!$F19:$J79,1,1),1,1)</f>
        <v>0.15730726180948901</v>
      </c>
      <c r="AL79" s="343">
        <f>AL78*(1+O79+'Risk Factors'!$J79)</f>
        <v>8.177725383982147E-2</v>
      </c>
      <c r="AM79" s="343">
        <f>AM78*(1+P79+'Risk Factors'!$J79)</f>
        <v>0.21507036020632148</v>
      </c>
      <c r="AN79" s="343">
        <f>AN78*(1+Q79+'Risk Factors'!$J79)</f>
        <v>0.33898119481743544</v>
      </c>
      <c r="AO79" s="343">
        <f>AO78*(1+R79+'Risk Factors'!$J79)</f>
        <v>0.40853608379317713</v>
      </c>
      <c r="AP79" s="343">
        <f>AP78*(1+S79+'Risk Factors'!$J79)</f>
        <v>0.26802640997339311</v>
      </c>
      <c r="AR79" s="343">
        <f t="shared" si="21"/>
        <v>6.2311639581832494E-2</v>
      </c>
      <c r="AS79" s="343">
        <f t="shared" si="22"/>
        <v>0.16387670336987253</v>
      </c>
      <c r="AT79" s="343">
        <f t="shared" si="23"/>
        <v>0.25829277757181646</v>
      </c>
      <c r="AU79" s="343">
        <f t="shared" si="24"/>
        <v>0.31129136788276074</v>
      </c>
      <c r="AV79" s="343">
        <f t="shared" si="25"/>
        <v>0.20422751159371783</v>
      </c>
      <c r="AW79" s="418">
        <f t="shared" si="26"/>
        <v>1.3123913026301486</v>
      </c>
      <c r="AX79" s="343">
        <f t="shared" si="30"/>
        <v>-2.9672173837761662E-2</v>
      </c>
      <c r="AZ79" s="421">
        <v>42551</v>
      </c>
      <c r="BA79" s="92">
        <f>HLOOKUP(BA$1,'AC4'!$F$1:$AC$109,ROW(),0)*'Management and Hedging'!$G$10</f>
        <v>3.3444160000000001E-2</v>
      </c>
      <c r="BB79" s="92">
        <f>HLOOKUP(BB$1,'AC4'!$F$1:$AC$109,ROW(),0)*'Management and Hedging'!$G$11</f>
        <v>-4.6277314696311952E-2</v>
      </c>
      <c r="BC79" s="92">
        <f>IF('Management and Hedging'!$G$13="yes",BA79+BB79,CQ79)</f>
        <v>-1.2833154696311952E-2</v>
      </c>
      <c r="BD79" s="138">
        <f>IF(IF('Management and Hedging'!$J$10="no",BL79,BO79)=0,NA(),IF('Management and Hedging'!$J$10="no",BL79,BO79))</f>
        <v>2.8733016449718249</v>
      </c>
      <c r="BE79" s="138">
        <f>IF(IF('Management and Hedging'!$J$10="no",BM79,BP79)=0,NA(),IF('Management and Hedging'!$J$10="no",BM79,BP79))</f>
        <v>-2.6352760714881258</v>
      </c>
      <c r="BF79" s="138">
        <f>IF(IF('Management and Hedging'!$J$10="no",BN79,BQ79)=0,NA(),IF('Management and Hedging'!$J$10="no",BN79,BQ79))</f>
        <v>-1.5335605281961355</v>
      </c>
      <c r="BG79" s="92">
        <f>IF('Management and Hedging'!$G$13="yes",BH79+BI79,CQ79)</f>
        <v>-1.2633154696311946E-2</v>
      </c>
      <c r="BH79" s="92">
        <f>HLOOKUP(BH$1,'Asset Returns'!$F$1:$ZY$109,ROW(),0)*'Management and Hedging'!$G$10</f>
        <v>3.3484160000000006E-2</v>
      </c>
      <c r="BI79" s="92">
        <f>HLOOKUP(BI$1,'Asset Returns'!$F$1:$ZY$109,ROW(),0)*'Management and Hedging'!$G$11</f>
        <v>-4.6117314696311952E-2</v>
      </c>
      <c r="BJ79" s="92">
        <f>HLOOKUP(BJ$1,'AC4'!$F$1:$AC$109,ROW(),0)</f>
        <v>0.1672208</v>
      </c>
      <c r="BK79" s="92">
        <f>HLOOKUP(BK$1,'AC4'!$F$1:$AC$109,ROW(),0)</f>
        <v>-5.7846643370389937E-2</v>
      </c>
      <c r="BL79" s="138">
        <f ca="1">'Management and Hedging'!$R$34</f>
        <v>2.5919346055080732</v>
      </c>
      <c r="BM79" s="138">
        <f ca="1">'Management and Hedging'!$R$36</f>
        <v>-2.1312105104673718</v>
      </c>
      <c r="BN79" s="138">
        <f>'Management and Hedging'!$R$38</f>
        <v>-1.1865814872722835</v>
      </c>
      <c r="BO79" s="138">
        <f>INDEX(LINEST(BJ19:BJ79,'AC2'!$F19:$J79,1,1),1,1)</f>
        <v>2.8733016449718249</v>
      </c>
      <c r="BP79" s="138">
        <f>INDEX(LINEST(BK19:BK79,'AC2'!$F19:$J79,1,1),1,1)</f>
        <v>-2.6352760714881258</v>
      </c>
      <c r="BQ79" s="138">
        <f>INDEX(LINEST(BC19:BC79,'AC2'!$F19:$J79,1,1),1,1)</f>
        <v>-1.5335605281961355</v>
      </c>
      <c r="BR79" s="138"/>
      <c r="BS79" s="138"/>
      <c r="BT79" s="138"/>
      <c r="BU79" s="138"/>
      <c r="BV79" s="138"/>
      <c r="BW79" s="138"/>
      <c r="BX79" s="138"/>
      <c r="BY79" s="138"/>
      <c r="BZ79" s="138"/>
      <c r="CA79" s="138"/>
      <c r="CB79" s="138"/>
      <c r="CC79" s="138"/>
      <c r="CD79" s="138"/>
      <c r="CE79" s="138"/>
      <c r="CF79" s="138"/>
      <c r="CG79" s="138"/>
      <c r="CH79" s="138"/>
      <c r="CI79" s="138"/>
      <c r="CJ79" s="138"/>
      <c r="CK79" s="343">
        <f>CK78*(1+BA79+'Risk Factors'!$J79)</f>
        <v>0.19430959535370179</v>
      </c>
      <c r="CL79" s="343">
        <f>CL78*(1+BB79+'Risk Factors'!$J79)</f>
        <v>1.0202597684700103</v>
      </c>
      <c r="CN79" s="343">
        <f t="shared" si="27"/>
        <v>0.15998229589949112</v>
      </c>
      <c r="CO79" s="343">
        <f t="shared" si="28"/>
        <v>0.84001770410050891</v>
      </c>
      <c r="CP79" s="418">
        <f t="shared" si="29"/>
        <v>1.2145693638237121</v>
      </c>
      <c r="CQ79" s="343">
        <f t="shared" si="31"/>
        <v>-3.4159917388852601E-2</v>
      </c>
      <c r="CS79" s="92"/>
      <c r="CT79" s="260"/>
      <c r="CU79" s="260"/>
      <c r="CV79" s="260"/>
      <c r="CW79" s="260"/>
      <c r="CX79" s="260"/>
      <c r="CY79" s="260"/>
      <c r="CZ79" s="260"/>
      <c r="DB79" s="325"/>
      <c r="DC79" s="92"/>
      <c r="DD79" s="92"/>
      <c r="DE79" s="260"/>
      <c r="DF79" s="260"/>
      <c r="DG79" s="260"/>
      <c r="DH79" s="260"/>
      <c r="DI79" s="260"/>
    </row>
    <row r="80" spans="6:113">
      <c r="F80" s="421">
        <v>42582</v>
      </c>
      <c r="G80" s="92">
        <f>IF(Portfolios!$G$16="yes",SUM(T80:X80),AX80)</f>
        <v>7.9002214595675468E-2</v>
      </c>
      <c r="H80" s="138">
        <f>IF(IF(Portfolios!$J$10="no",'AC3'!Y80,'AC3'!AE80)=0,NA(),IF(Portfolios!$J$10="no",Y80,AE80))</f>
        <v>-0.96916899812162638</v>
      </c>
      <c r="I80" s="138">
        <f>IF(Portfolios!$J$11="no",NA(),IF(IF(Portfolios!$J$10="no",'AC3'!Z80,'AC3'!AF80)=0,NA(),IF(Portfolios!$J$10="no",Z80,AF80)))</f>
        <v>1.3731839261575076</v>
      </c>
      <c r="J80" s="138">
        <f>IF(Portfolios!$J$11="no",NA(),IF(IF(Portfolios!$J$10="no",'AC3'!AA80,'AC3'!AG80)=0,NA(),IF(Portfolios!$J$10="no",AA80,AG80)))</f>
        <v>0.30358448260081228</v>
      </c>
      <c r="K80" s="138">
        <f>IF(Portfolios!$J$11="no",NA(),IF(IF(Portfolios!$J$10="no",'AC3'!AB80,'AC3'!AH80)=0,NA(),IF(Portfolios!$J$10="no",AB80,AH80)))</f>
        <v>-2.528830658231394</v>
      </c>
      <c r="L80" s="138">
        <f>IF(Portfolios!$J$11="no",NA(),IF(IF(Portfolios!$J$10="no",'AC3'!AC80,'AC3'!AI80)=0,NA(),IF(Portfolios!$J$10="no",AC80,AI80)))</f>
        <v>-1.3520609225558349</v>
      </c>
      <c r="M80" s="138">
        <f>IF(Portfolios!$J$11="no",NA(),IF(IF(Portfolios!$J$10="no",'AC3'!AD80,'AC3'!AJ80)=0,NA(),IF(Portfolios!$J$10="no",AD80,AJ80)))</f>
        <v>0.13710817619355262</v>
      </c>
      <c r="N80" s="92">
        <f>G80-'Risk Factors'!J80</f>
        <v>7.8802214595675463E-2</v>
      </c>
      <c r="O80" s="260">
        <f>HLOOKUP(O$1,'Asset Returns'!$F$1:$N$109,ROW(),0)-'Risk Factors'!$J80</f>
        <v>-3.2812781971693038E-2</v>
      </c>
      <c r="P80" s="260">
        <f>HLOOKUP(P$1,'Asset Returns'!$F$1:$N$109,ROW(),0)-'Risk Factors'!$J80</f>
        <v>0.10409000854492187</v>
      </c>
      <c r="Q80" s="260">
        <f>HLOOKUP(Q$1,'Asset Returns'!$F$1:$N$109,ROW(),0)-'Risk Factors'!$J80</f>
        <v>3.2895844089984895E-2</v>
      </c>
      <c r="R80" s="260">
        <f>HLOOKUP(R$1,'Asset Returns'!$F$1:$N$109,ROW(),0)-'Risk Factors'!$J80</f>
        <v>0.16745767335891723</v>
      </c>
      <c r="S80" s="260">
        <f>HLOOKUP(S$1,'Asset Returns'!$F$1:$N$109,ROW(),0)-'Risk Factors'!$J80</f>
        <v>5.784218351840973E-2</v>
      </c>
      <c r="T80" s="260">
        <f>HLOOKUP(T$1,'Asset Returns'!$F$1:$N$109,ROW(),0)*Portfolios!$G$10</f>
        <v>-3.2612781971693042E-3</v>
      </c>
      <c r="U80" s="260">
        <f>HLOOKUP(U$1,'Asset Returns'!$F$1:$N$109,ROW(),0)*Portfolios!$G$11</f>
        <v>1.0429000854492188E-2</v>
      </c>
      <c r="V80" s="260">
        <f>HLOOKUP(V$1,'Asset Returns'!$F$1:$N$109,ROW(),0)*Portfolios!$G$12</f>
        <v>9.9287532269954678E-3</v>
      </c>
      <c r="W80" s="260">
        <f>HLOOKUP(W$1,'Asset Returns'!$F$1:$N$109,ROW(),0)*Portfolios!$G$13</f>
        <v>5.0297302007675168E-2</v>
      </c>
      <c r="X80" s="260">
        <f>HLOOKUP(X$1,'Asset Returns'!$F$1:$N$109,ROW(),0)*Portfolios!$G$14</f>
        <v>1.1608436703681944E-2</v>
      </c>
      <c r="Y80" s="138">
        <f>Portfolios!$R$34</f>
        <v>-0.68211369708646341</v>
      </c>
      <c r="Z80" s="138">
        <f>Portfolios!$P$11</f>
        <v>0.9378377404978776</v>
      </c>
      <c r="AA80" s="138">
        <f>Portfolios!$P$12</f>
        <v>0.64097224418739052</v>
      </c>
      <c r="AB80" s="138">
        <f>Portfolios!$P$13</f>
        <v>-2.1312105104673718</v>
      </c>
      <c r="AC80" s="138">
        <f>Portfolios!$P$14</f>
        <v>-0.78557102570241866</v>
      </c>
      <c r="AD80" s="138">
        <f>Portfolios!$P$15</f>
        <v>0.17519882647973573</v>
      </c>
      <c r="AE80" s="183">
        <f>INDEX(LINEST(N20:N80,'AC2'!$F20:$J80,1,1),1,1)</f>
        <v>-0.96916899812162638</v>
      </c>
      <c r="AF80" s="183">
        <f>INDEX(LINEST(O20:O80,'AC2'!$F20:$J80,1,1),1,1)</f>
        <v>1.3731839261575076</v>
      </c>
      <c r="AG80" s="183">
        <f>INDEX(LINEST(P20:P80,'AC2'!$F20:$J80,1,1),1,1)</f>
        <v>0.30358448260081228</v>
      </c>
      <c r="AH80" s="183">
        <f>INDEX(LINEST(Q20:Q80,'AC2'!$F20:$J80,1,1),1,1)</f>
        <v>-2.528830658231394</v>
      </c>
      <c r="AI80" s="183">
        <f>INDEX(LINEST(R20:R80,'AC2'!$F20:$J80,1,1),1,1)</f>
        <v>-1.3520609225558349</v>
      </c>
      <c r="AJ80" s="183">
        <f>INDEX(LINEST(S20:S80,'AC2'!$F20:$J80,1,1),1,1)</f>
        <v>0.13710817619355262</v>
      </c>
      <c r="AL80" s="343">
        <f>AL79*(1+O80+'Risk Factors'!$J80)</f>
        <v>7.9110270090099577E-2</v>
      </c>
      <c r="AM80" s="343">
        <f>AM79*(1+P80+'Risk Factors'!$J80)</f>
        <v>0.23750004990999818</v>
      </c>
      <c r="AN80" s="343">
        <f>AN79*(1+Q80+'Risk Factors'!$J80)</f>
        <v>0.35020006359055006</v>
      </c>
      <c r="AO80" s="343">
        <f>AO79*(1+R80+'Risk Factors'!$J80)</f>
        <v>0.47703029308510486</v>
      </c>
      <c r="AP80" s="343">
        <f>AP79*(1+S80+'Risk Factors'!$J80)</f>
        <v>0.28358324804884932</v>
      </c>
      <c r="AR80" s="343">
        <f t="shared" si="21"/>
        <v>5.5421706698213426E-2</v>
      </c>
      <c r="AS80" s="343">
        <f t="shared" si="22"/>
        <v>0.1663836830784659</v>
      </c>
      <c r="AT80" s="343">
        <f t="shared" si="23"/>
        <v>0.24533711220940577</v>
      </c>
      <c r="AU80" s="343">
        <f t="shared" si="24"/>
        <v>0.33418964389092748</v>
      </c>
      <c r="AV80" s="343">
        <f t="shared" si="25"/>
        <v>0.19866785412298735</v>
      </c>
      <c r="AW80" s="418">
        <f t="shared" si="26"/>
        <v>1.4274239247246021</v>
      </c>
      <c r="AX80" s="343">
        <f t="shared" si="30"/>
        <v>8.7651161558231827E-2</v>
      </c>
      <c r="AZ80" s="421">
        <v>42582</v>
      </c>
      <c r="BA80" s="92">
        <f>HLOOKUP(BA$1,'AC4'!$F$1:$AC$109,ROW(),0)*'Management and Hedging'!$G$10</f>
        <v>2.8642180000000003E-2</v>
      </c>
      <c r="BB80" s="92">
        <f>HLOOKUP(BB$1,'AC4'!$F$1:$AC$109,ROW(),0)*'Management and Hedging'!$G$11</f>
        <v>2.6316675271987916E-2</v>
      </c>
      <c r="BC80" s="92">
        <f>IF('Management and Hedging'!$G$13="yes",BA80+BB80,CQ80)</f>
        <v>5.4958855271987919E-2</v>
      </c>
      <c r="BD80" s="138">
        <f>IF(IF('Management and Hedging'!$J$10="no",BL80,BO80)=0,NA(),IF('Management and Hedging'!$J$10="no",BL80,BO80))</f>
        <v>2.8072939686755616</v>
      </c>
      <c r="BE80" s="138">
        <f>IF(IF('Management and Hedging'!$J$10="no",BM80,BP80)=0,NA(),IF('Management and Hedging'!$J$10="no",BM80,BP80))</f>
        <v>-2.528830658231394</v>
      </c>
      <c r="BF80" s="138">
        <f>IF(IF('Management and Hedging'!$J$10="no",BN80,BQ80)=0,NA(),IF('Management and Hedging'!$J$10="no",BN80,BQ80))</f>
        <v>-1.4616057328500023</v>
      </c>
      <c r="BG80" s="92">
        <f>IF('Management and Hedging'!$G$13="yes",BH80+BI80,CQ80)</f>
        <v>5.5158855271987918E-2</v>
      </c>
      <c r="BH80" s="92">
        <f>HLOOKUP(BH$1,'Asset Returns'!$F$1:$ZY$109,ROW(),0)*'Management and Hedging'!$G$10</f>
        <v>2.8682180000000002E-2</v>
      </c>
      <c r="BI80" s="92">
        <f>HLOOKUP(BI$1,'Asset Returns'!$F$1:$ZY$109,ROW(),0)*'Management and Hedging'!$G$11</f>
        <v>2.6476675271987916E-2</v>
      </c>
      <c r="BJ80" s="92">
        <f>HLOOKUP(BJ$1,'AC4'!$F$1:$AC$109,ROW(),0)</f>
        <v>0.1432109</v>
      </c>
      <c r="BK80" s="92">
        <f>HLOOKUP(BK$1,'AC4'!$F$1:$AC$109,ROW(),0)</f>
        <v>3.2895844089984895E-2</v>
      </c>
      <c r="BL80" s="138">
        <f ca="1">'Management and Hedging'!$R$34</f>
        <v>2.5919346055080732</v>
      </c>
      <c r="BM80" s="138">
        <f ca="1">'Management and Hedging'!$R$36</f>
        <v>-2.1312105104673718</v>
      </c>
      <c r="BN80" s="138">
        <f>'Management and Hedging'!$R$38</f>
        <v>-1.1865814872722835</v>
      </c>
      <c r="BO80" s="138">
        <f>INDEX(LINEST(BJ20:BJ80,'AC2'!$F20:$J80,1,1),1,1)</f>
        <v>2.8072939686755616</v>
      </c>
      <c r="BP80" s="138">
        <f>INDEX(LINEST(BK20:BK80,'AC2'!$F20:$J80,1,1),1,1)</f>
        <v>-2.528830658231394</v>
      </c>
      <c r="BQ80" s="138">
        <f>INDEX(LINEST(BC20:BC80,'AC2'!$F20:$J80,1,1),1,1)</f>
        <v>-1.4616057328500023</v>
      </c>
      <c r="BR80" s="138"/>
      <c r="BS80" s="138"/>
      <c r="BT80" s="138"/>
      <c r="BU80" s="138"/>
      <c r="BV80" s="138"/>
      <c r="BW80" s="138"/>
      <c r="BX80" s="138"/>
      <c r="BY80" s="138"/>
      <c r="BZ80" s="138"/>
      <c r="CA80" s="138"/>
      <c r="CB80" s="138"/>
      <c r="CC80" s="138"/>
      <c r="CD80" s="138"/>
      <c r="CE80" s="138"/>
      <c r="CF80" s="138"/>
      <c r="CG80" s="138"/>
      <c r="CH80" s="138"/>
      <c r="CI80" s="138"/>
      <c r="CJ80" s="138"/>
      <c r="CK80" s="343">
        <f>CK79*(1+BA80+'Risk Factors'!$J80)</f>
        <v>0.19991390767862044</v>
      </c>
      <c r="CL80" s="343">
        <f>CL79*(1+BB80+'Risk Factors'!$J80)</f>
        <v>1.047313665443603</v>
      </c>
      <c r="CN80" s="343">
        <f t="shared" si="27"/>
        <v>0.16028663251740799</v>
      </c>
      <c r="CO80" s="343">
        <f t="shared" si="28"/>
        <v>0.83971336748259195</v>
      </c>
      <c r="CP80" s="418">
        <f t="shared" si="29"/>
        <v>1.2472275731222235</v>
      </c>
      <c r="CQ80" s="343">
        <f t="shared" si="31"/>
        <v>2.6888714857500329E-2</v>
      </c>
      <c r="CS80" s="92"/>
      <c r="CT80" s="260"/>
      <c r="CU80" s="260"/>
      <c r="CV80" s="260"/>
      <c r="CW80" s="260"/>
      <c r="CX80" s="260"/>
      <c r="CY80" s="260"/>
      <c r="CZ80" s="260"/>
      <c r="DB80" s="325"/>
      <c r="DC80" s="92"/>
      <c r="DD80" s="92"/>
      <c r="DE80" s="260"/>
      <c r="DF80" s="260"/>
      <c r="DG80" s="260"/>
      <c r="DH80" s="260"/>
      <c r="DI80" s="260"/>
    </row>
    <row r="81" spans="6:113">
      <c r="F81" s="421">
        <v>42613</v>
      </c>
      <c r="G81" s="92">
        <f>IF(Portfolios!$G$16="yes",SUM(T81:X81),AX81)</f>
        <v>7.7390190027654154E-2</v>
      </c>
      <c r="H81" s="138">
        <f>IF(IF(Portfolios!$J$10="no",'AC3'!Y81,'AC3'!AE81)=0,NA(),IF(Portfolios!$J$10="no",Y81,AE81))</f>
        <v>-1.0927791451651432</v>
      </c>
      <c r="I81" s="138">
        <f>IF(Portfolios!$J$11="no",NA(),IF(IF(Portfolios!$J$10="no",'AC3'!Z81,'AC3'!AF81)=0,NA(),IF(Portfolios!$J$10="no",Z81,AF81)))</f>
        <v>1.3047660574640281</v>
      </c>
      <c r="J81" s="138">
        <f>IF(Portfolios!$J$11="no",NA(),IF(IF(Portfolios!$J$10="no",'AC3'!AA81,'AC3'!AG81)=0,NA(),IF(Portfolios!$J$10="no",AA81,AG81)))</f>
        <v>0.28385001236001606</v>
      </c>
      <c r="K81" s="138">
        <f>IF(Portfolios!$J$11="no",NA(),IF(IF(Portfolios!$J$10="no",'AC3'!AB81,'AC3'!AH81)=0,NA(),IF(Portfolios!$J$10="no",AB81,AH81)))</f>
        <v>-2.7001983458701506</v>
      </c>
      <c r="L81" s="138">
        <f>IF(Portfolios!$J$11="no",NA(),IF(IF(Portfolios!$J$10="no",'AC3'!AC81,'AC3'!AI81)=0,NA(),IF(Portfolios!$J$10="no",AC81,AI81)))</f>
        <v>-1.4832458727498397</v>
      </c>
      <c r="M81" s="138">
        <f>IF(Portfolios!$J$11="no",NA(),IF(IF(Portfolios!$J$10="no",'AC3'!AD81,'AC3'!AJ81)=0,NA(),IF(Portfolios!$J$10="no",AD81,AJ81)))</f>
        <v>1.6962567192247435E-2</v>
      </c>
      <c r="N81" s="92">
        <f>G81-'Risk Factors'!J81</f>
        <v>7.7190190027654149E-2</v>
      </c>
      <c r="O81" s="260">
        <f>HLOOKUP(O$1,'Asset Returns'!$F$1:$N$109,ROW(),0)-'Risk Factors'!$J81</f>
        <v>6.4215735860168937E-3</v>
      </c>
      <c r="P81" s="260">
        <f>HLOOKUP(P$1,'Asset Returns'!$F$1:$N$109,ROW(),0)-'Risk Factors'!$J81</f>
        <v>6.8400334227085108E-2</v>
      </c>
      <c r="Q81" s="260">
        <f>HLOOKUP(Q$1,'Asset Returns'!$F$1:$N$109,ROW(),0)-'Risk Factors'!$J81</f>
        <v>0.18590461056232452</v>
      </c>
      <c r="R81" s="260">
        <f>HLOOKUP(R$1,'Asset Returns'!$F$1:$N$109,ROW(),0)-'Risk Factors'!$J81</f>
        <v>4.8246569591760637E-2</v>
      </c>
      <c r="S81" s="260">
        <f>HLOOKUP(S$1,'Asset Returns'!$F$1:$N$109,ROW(),0)-'Risk Factors'!$J81</f>
        <v>-2.6867739994078875E-3</v>
      </c>
      <c r="T81" s="260">
        <f>HLOOKUP(T$1,'Asset Returns'!$F$1:$N$109,ROW(),0)*Portfolios!$G$10</f>
        <v>6.6215735860168938E-4</v>
      </c>
      <c r="U81" s="260">
        <f>HLOOKUP(U$1,'Asset Returns'!$F$1:$N$109,ROW(),0)*Portfolios!$G$11</f>
        <v>6.860033422708512E-3</v>
      </c>
      <c r="V81" s="260">
        <f>HLOOKUP(V$1,'Asset Returns'!$F$1:$N$109,ROW(),0)*Portfolios!$G$12</f>
        <v>5.5831383168697353E-2</v>
      </c>
      <c r="W81" s="260">
        <f>HLOOKUP(W$1,'Asset Returns'!$F$1:$N$109,ROW(),0)*Portfolios!$G$13</f>
        <v>1.4533970877528189E-2</v>
      </c>
      <c r="X81" s="260">
        <f>HLOOKUP(X$1,'Asset Returns'!$F$1:$N$109,ROW(),0)*Portfolios!$G$14</f>
        <v>-4.9735479988157741E-4</v>
      </c>
      <c r="Y81" s="138">
        <f>Portfolios!$R$34</f>
        <v>-0.68211369708646341</v>
      </c>
      <c r="Z81" s="138">
        <f>Portfolios!$P$11</f>
        <v>0.9378377404978776</v>
      </c>
      <c r="AA81" s="138">
        <f>Portfolios!$P$12</f>
        <v>0.64097224418739052</v>
      </c>
      <c r="AB81" s="138">
        <f>Portfolios!$P$13</f>
        <v>-2.1312105104673718</v>
      </c>
      <c r="AC81" s="138">
        <f>Portfolios!$P$14</f>
        <v>-0.78557102570241866</v>
      </c>
      <c r="AD81" s="138">
        <f>Portfolios!$P$15</f>
        <v>0.17519882647973573</v>
      </c>
      <c r="AE81" s="183">
        <f>INDEX(LINEST(N21:N81,'AC2'!$F21:$J81,1,1),1,1)</f>
        <v>-1.0927791451651432</v>
      </c>
      <c r="AF81" s="183">
        <f>INDEX(LINEST(O21:O81,'AC2'!$F21:$J81,1,1),1,1)</f>
        <v>1.3047660574640281</v>
      </c>
      <c r="AG81" s="183">
        <f>INDEX(LINEST(P21:P81,'AC2'!$F21:$J81,1,1),1,1)</f>
        <v>0.28385001236001606</v>
      </c>
      <c r="AH81" s="183">
        <f>INDEX(LINEST(Q21:Q81,'AC2'!$F21:$J81,1,1),1,1)</f>
        <v>-2.7001983458701506</v>
      </c>
      <c r="AI81" s="183">
        <f>INDEX(LINEST(R21:R81,'AC2'!$F21:$J81,1,1),1,1)</f>
        <v>-1.4832458727498397</v>
      </c>
      <c r="AJ81" s="183">
        <f>INDEX(LINEST(S21:S81,'AC2'!$F21:$J81,1,1),1,1)</f>
        <v>1.6962567192247435E-2</v>
      </c>
      <c r="AL81" s="343">
        <f>AL80*(1+O81+'Risk Factors'!$J81)</f>
        <v>7.9634104564910838E-2</v>
      </c>
      <c r="AM81" s="343">
        <f>AM80*(1+P81+'Risk Factors'!$J81)</f>
        <v>0.25379263271277347</v>
      </c>
      <c r="AN81" s="343">
        <f>AN80*(1+Q81+'Risk Factors'!$J81)</f>
        <v>0.41537391004397067</v>
      </c>
      <c r="AO81" s="343">
        <f>AO80*(1+R81+'Risk Factors'!$J81)</f>
        <v>0.50014077437643034</v>
      </c>
      <c r="AP81" s="343">
        <f>AP80*(1+S81+'Risk Factors'!$J81)</f>
        <v>0.2828780406009338</v>
      </c>
      <c r="AR81" s="343">
        <f t="shared" si="21"/>
        <v>5.198661234228779E-2</v>
      </c>
      <c r="AS81" s="343">
        <f t="shared" si="22"/>
        <v>0.16568051193961905</v>
      </c>
      <c r="AT81" s="343">
        <f t="shared" si="23"/>
        <v>0.27116375021150341</v>
      </c>
      <c r="AU81" s="343">
        <f t="shared" si="24"/>
        <v>0.3265011228058155</v>
      </c>
      <c r="AV81" s="343">
        <f t="shared" si="25"/>
        <v>0.18466800270077424</v>
      </c>
      <c r="AW81" s="418">
        <f t="shared" si="26"/>
        <v>1.5318194622990191</v>
      </c>
      <c r="AX81" s="343">
        <f t="shared" si="30"/>
        <v>7.3135622687954038E-2</v>
      </c>
      <c r="AZ81" s="421">
        <v>42613</v>
      </c>
      <c r="BA81" s="92">
        <f>HLOOKUP(BA$1,'AC4'!$F$1:$AC$109,ROW(),0)*'Management and Hedging'!$G$10</f>
        <v>-1.179142E-2</v>
      </c>
      <c r="BB81" s="92">
        <f>HLOOKUP(BB$1,'AC4'!$F$1:$AC$109,ROW(),0)*'Management and Hedging'!$G$11</f>
        <v>0.14872368844985961</v>
      </c>
      <c r="BC81" s="92">
        <f>IF('Management and Hedging'!$G$13="yes",BA81+BB81,CQ81)</f>
        <v>0.13693226844985962</v>
      </c>
      <c r="BD81" s="138">
        <f>IF(IF('Management and Hedging'!$J$10="no",BL81,BO81)=0,NA(),IF('Management and Hedging'!$J$10="no",BL81,BO81))</f>
        <v>2.9820394144315001</v>
      </c>
      <c r="BE81" s="138">
        <f>IF(IF('Management and Hedging'!$J$10="no",BM81,BP81)=0,NA(),IF('Management and Hedging'!$J$10="no",BM81,BP81))</f>
        <v>-2.7001983458701506</v>
      </c>
      <c r="BF81" s="138">
        <f>IF(IF('Management and Hedging'!$J$10="no",BN81,BQ81)=0,NA(),IF('Management and Hedging'!$J$10="no",BN81,BQ81))</f>
        <v>-1.563750793809819</v>
      </c>
      <c r="BG81" s="92">
        <f>IF('Management and Hedging'!$G$13="yes",BH81+BI81,CQ81)</f>
        <v>0.13713226844985962</v>
      </c>
      <c r="BH81" s="92">
        <f>HLOOKUP(BH$1,'Asset Returns'!$F$1:$ZY$109,ROW(),0)*'Management and Hedging'!$G$10</f>
        <v>-1.175142E-2</v>
      </c>
      <c r="BI81" s="92">
        <f>HLOOKUP(BI$1,'Asset Returns'!$F$1:$ZY$109,ROW(),0)*'Management and Hedging'!$G$11</f>
        <v>0.14888368844985964</v>
      </c>
      <c r="BJ81" s="92">
        <f>HLOOKUP(BJ$1,'AC4'!$F$1:$AC$109,ROW(),0)</f>
        <v>-5.8957099999999998E-2</v>
      </c>
      <c r="BK81" s="92">
        <f>HLOOKUP(BK$1,'AC4'!$F$1:$AC$109,ROW(),0)</f>
        <v>0.18590461056232452</v>
      </c>
      <c r="BL81" s="138">
        <f ca="1">'Management and Hedging'!$R$34</f>
        <v>2.5919346055080732</v>
      </c>
      <c r="BM81" s="138">
        <f ca="1">'Management and Hedging'!$R$36</f>
        <v>-2.1312105104673718</v>
      </c>
      <c r="BN81" s="138">
        <f>'Management and Hedging'!$R$38</f>
        <v>-1.1865814872722835</v>
      </c>
      <c r="BO81" s="138">
        <f>INDEX(LINEST(BJ21:BJ81,'AC2'!$F21:$J81,1,1),1,1)</f>
        <v>2.9820394144315001</v>
      </c>
      <c r="BP81" s="138">
        <f>INDEX(LINEST(BK21:BK81,'AC2'!$F21:$J81,1,1),1,1)</f>
        <v>-2.7001983458701506</v>
      </c>
      <c r="BQ81" s="138">
        <f>INDEX(LINEST(BC21:BC81,'AC2'!$F21:$J81,1,1),1,1)</f>
        <v>-1.563750793809819</v>
      </c>
      <c r="BR81" s="138"/>
      <c r="BS81" s="138"/>
      <c r="BT81" s="138"/>
      <c r="BU81" s="138"/>
      <c r="BV81" s="138"/>
      <c r="BW81" s="138"/>
      <c r="BX81" s="138"/>
      <c r="BY81" s="138"/>
      <c r="BZ81" s="138"/>
      <c r="CA81" s="138"/>
      <c r="CB81" s="138"/>
      <c r="CC81" s="138"/>
      <c r="CD81" s="138"/>
      <c r="CE81" s="138"/>
      <c r="CF81" s="138"/>
      <c r="CG81" s="138"/>
      <c r="CH81" s="138"/>
      <c r="CI81" s="138"/>
      <c r="CJ81" s="138"/>
      <c r="CK81" s="343">
        <f>CK80*(1+BA81+'Risk Factors'!$J81)</f>
        <v>0.19759662161087632</v>
      </c>
      <c r="CL81" s="343">
        <f>CL80*(1+BB81+'Risk Factors'!$J81)</f>
        <v>1.2032834794654068</v>
      </c>
      <c r="CN81" s="343">
        <f t="shared" si="27"/>
        <v>0.14105177270993047</v>
      </c>
      <c r="CO81" s="343">
        <f t="shared" si="28"/>
        <v>0.85894822729006948</v>
      </c>
      <c r="CP81" s="418">
        <f t="shared" si="29"/>
        <v>1.4008801010762832</v>
      </c>
      <c r="CQ81" s="343">
        <f t="shared" si="31"/>
        <v>0.12319526224826527</v>
      </c>
      <c r="CS81" s="92"/>
      <c r="CT81" s="260"/>
      <c r="CU81" s="260"/>
      <c r="CV81" s="260"/>
      <c r="CW81" s="260"/>
      <c r="CX81" s="260"/>
      <c r="CY81" s="260"/>
      <c r="CZ81" s="260"/>
      <c r="DB81" s="325"/>
      <c r="DC81" s="92"/>
      <c r="DD81" s="92"/>
      <c r="DE81" s="260"/>
      <c r="DF81" s="260"/>
      <c r="DG81" s="260"/>
      <c r="DH81" s="260"/>
      <c r="DI81" s="260"/>
    </row>
    <row r="82" spans="6:113">
      <c r="F82" s="421">
        <v>42643</v>
      </c>
      <c r="G82" s="92">
        <f>IF(Portfolios!$G$16="yes",SUM(T82:X82),AX82)</f>
        <v>-8.9729522645939138E-3</v>
      </c>
      <c r="H82" s="138">
        <f>IF(IF(Portfolios!$J$10="no",'AC3'!Y82,'AC3'!AE82)=0,NA(),IF(Portfolios!$J$10="no",Y82,AE82))</f>
        <v>-1.1180746722562809</v>
      </c>
      <c r="I82" s="138">
        <f>IF(Portfolios!$J$11="no",NA(),IF(IF(Portfolios!$J$10="no",'AC3'!Z82,'AC3'!AF82)=0,NA(),IF(Portfolios!$J$10="no",Z82,AF82)))</f>
        <v>1.3816626866245743</v>
      </c>
      <c r="J82" s="138">
        <f>IF(Portfolios!$J$11="no",NA(),IF(IF(Portfolios!$J$10="no",'AC3'!AA82,'AC3'!AG82)=0,NA(),IF(Portfolios!$J$10="no",AA82,AG82)))</f>
        <v>0.3858169613287285</v>
      </c>
      <c r="K82" s="138">
        <f>IF(Portfolios!$J$11="no",NA(),IF(IF(Portfolios!$J$10="no",'AC3'!AB82,'AC3'!AH82)=0,NA(),IF(Portfolios!$J$10="no",AB82,AH82)))</f>
        <v>-2.8627328697255447</v>
      </c>
      <c r="L82" s="138">
        <f>IF(Portfolios!$J$11="no",NA(),IF(IF(Portfolios!$J$10="no",'AC3'!AC82,'AC3'!AI82)=0,NA(),IF(Portfolios!$J$10="no",AC82,AI82)))</f>
        <v>-1.4600732103655467</v>
      </c>
      <c r="M82" s="138">
        <f>IF(Portfolios!$J$11="no",NA(),IF(IF(Portfolios!$J$10="no",'AC3'!AD82,'AC3'!AJ82)=0,NA(),IF(Portfolios!$J$10="no",AD82,AJ82)))</f>
        <v>1.0095934878583322E-2</v>
      </c>
      <c r="N82" s="92">
        <f>G82-'Risk Factors'!J82</f>
        <v>-9.1729522645939143E-3</v>
      </c>
      <c r="O82" s="260">
        <f>HLOOKUP(O$1,'Asset Returns'!$F$1:$N$109,ROW(),0)-'Risk Factors'!$J82</f>
        <v>4.2654852974414827E-2</v>
      </c>
      <c r="P82" s="260">
        <f>HLOOKUP(P$1,'Asset Returns'!$F$1:$N$109,ROW(),0)-'Risk Factors'!$J82</f>
        <v>1.2625271705910563E-4</v>
      </c>
      <c r="Q82" s="260">
        <f>HLOOKUP(Q$1,'Asset Returns'!$F$1:$N$109,ROW(),0)-'Risk Factors'!$J82</f>
        <v>-6.4271803617477414E-3</v>
      </c>
      <c r="R82" s="260">
        <f>HLOOKUP(R$1,'Asset Returns'!$F$1:$N$109,ROW(),0)-'Risk Factors'!$J82</f>
        <v>-3.8017146629095076E-2</v>
      </c>
      <c r="S82" s="260">
        <f>HLOOKUP(S$1,'Asset Returns'!$F$1:$N$109,ROW(),0)-'Risk Factors'!$J82</f>
        <v>-5.8882368244230745E-4</v>
      </c>
      <c r="T82" s="260">
        <f>HLOOKUP(T$1,'Asset Returns'!$F$1:$N$109,ROW(),0)*Portfolios!$G$10</f>
        <v>4.2854852974414824E-3</v>
      </c>
      <c r="U82" s="260">
        <f>HLOOKUP(U$1,'Asset Returns'!$F$1:$N$109,ROW(),0)*Portfolios!$G$11</f>
        <v>3.2625271705910565E-5</v>
      </c>
      <c r="V82" s="260">
        <f>HLOOKUP(V$1,'Asset Returns'!$F$1:$N$109,ROW(),0)*Portfolios!$G$12</f>
        <v>-1.8681541085243225E-3</v>
      </c>
      <c r="W82" s="260">
        <f>HLOOKUP(W$1,'Asset Returns'!$F$1:$N$109,ROW(),0)*Portfolios!$G$13</f>
        <v>-1.1345143988728523E-2</v>
      </c>
      <c r="X82" s="260">
        <f>HLOOKUP(X$1,'Asset Returns'!$F$1:$N$109,ROW(),0)*Portfolios!$G$14</f>
        <v>-7.7764736488461481E-5</v>
      </c>
      <c r="Y82" s="138">
        <f>Portfolios!$R$34</f>
        <v>-0.68211369708646341</v>
      </c>
      <c r="Z82" s="138">
        <f>Portfolios!$P$11</f>
        <v>0.9378377404978776</v>
      </c>
      <c r="AA82" s="138">
        <f>Portfolios!$P$12</f>
        <v>0.64097224418739052</v>
      </c>
      <c r="AB82" s="138">
        <f>Portfolios!$P$13</f>
        <v>-2.1312105104673718</v>
      </c>
      <c r="AC82" s="138">
        <f>Portfolios!$P$14</f>
        <v>-0.78557102570241866</v>
      </c>
      <c r="AD82" s="138">
        <f>Portfolios!$P$15</f>
        <v>0.17519882647973573</v>
      </c>
      <c r="AE82" s="183">
        <f>INDEX(LINEST(N22:N82,'AC2'!$F22:$J82,1,1),1,1)</f>
        <v>-1.1180746722562809</v>
      </c>
      <c r="AF82" s="183">
        <f>INDEX(LINEST(O22:O82,'AC2'!$F22:$J82,1,1),1,1)</f>
        <v>1.3816626866245743</v>
      </c>
      <c r="AG82" s="183">
        <f>INDEX(LINEST(P22:P82,'AC2'!$F22:$J82,1,1),1,1)</f>
        <v>0.3858169613287285</v>
      </c>
      <c r="AH82" s="183">
        <f>INDEX(LINEST(Q22:Q82,'AC2'!$F22:$J82,1,1),1,1)</f>
        <v>-2.8627328697255447</v>
      </c>
      <c r="AI82" s="183">
        <f>INDEX(LINEST(R22:R82,'AC2'!$F22:$J82,1,1),1,1)</f>
        <v>-1.4600732103655467</v>
      </c>
      <c r="AJ82" s="183">
        <f>INDEX(LINEST(S22:S82,'AC2'!$F22:$J82,1,1),1,1)</f>
        <v>1.0095934878583322E-2</v>
      </c>
      <c r="AL82" s="343">
        <f>AL81*(1+O82+'Risk Factors'!$J82)</f>
        <v>8.3046812407789272E-2</v>
      </c>
      <c r="AM82" s="343">
        <f>AM81*(1+P82+'Risk Factors'!$J82)</f>
        <v>0.2538754332487656</v>
      </c>
      <c r="AN82" s="343">
        <f>AN81*(1+Q82+'Risk Factors'!$J82)</f>
        <v>0.41278730178856249</v>
      </c>
      <c r="AO82" s="343">
        <f>AO81*(1+R82+'Risk Factors'!$J82)</f>
        <v>0.48122687737664771</v>
      </c>
      <c r="AP82" s="343">
        <f>AP81*(1+S82+'Risk Factors'!$J82)</f>
        <v>0.2827680509195053</v>
      </c>
      <c r="AR82" s="343">
        <f t="shared" si="21"/>
        <v>5.4863293158409092E-2</v>
      </c>
      <c r="AS82" s="343">
        <f t="shared" si="22"/>
        <v>0.16771796431693922</v>
      </c>
      <c r="AT82" s="343">
        <f t="shared" si="23"/>
        <v>0.27270006028516097</v>
      </c>
      <c r="AU82" s="343">
        <f t="shared" si="24"/>
        <v>0.31791336095573602</v>
      </c>
      <c r="AV82" s="343">
        <f t="shared" si="25"/>
        <v>0.18680532128375454</v>
      </c>
      <c r="AW82" s="418">
        <f t="shared" si="26"/>
        <v>1.5137044757412705</v>
      </c>
      <c r="AX82" s="343">
        <f t="shared" si="30"/>
        <v>-1.1825797362935209E-2</v>
      </c>
      <c r="AZ82" s="421">
        <v>42643</v>
      </c>
      <c r="BA82" s="92">
        <f>HLOOKUP(BA$1,'AC4'!$F$1:$AC$109,ROW(),0)*'Management and Hedging'!$G$10</f>
        <v>1.484596E-2</v>
      </c>
      <c r="BB82" s="92">
        <f>HLOOKUP(BB$1,'AC4'!$F$1:$AC$109,ROW(),0)*'Management and Hedging'!$G$11</f>
        <v>-5.1417442893981931E-3</v>
      </c>
      <c r="BC82" s="92">
        <f>IF('Management and Hedging'!$G$13="yes",BA82+BB82,CQ82)</f>
        <v>9.704215710601807E-3</v>
      </c>
      <c r="BD82" s="138">
        <f>IF(IF('Management and Hedging'!$J$10="no",BL82,BO82)=0,NA(),IF('Management and Hedging'!$J$10="no",BL82,BO82))</f>
        <v>2.9903786005905819</v>
      </c>
      <c r="BE82" s="138">
        <f>IF(IF('Management and Hedging'!$J$10="no",BM82,BP82)=0,NA(),IF('Management and Hedging'!$J$10="no",BM82,BP82))</f>
        <v>-2.8627328697255447</v>
      </c>
      <c r="BF82" s="138">
        <f>IF(IF('Management and Hedging'!$J$10="no",BN82,BQ82)=0,NA(),IF('Management and Hedging'!$J$10="no",BN82,BQ82))</f>
        <v>-1.6921105756623198</v>
      </c>
      <c r="BG82" s="92">
        <f>IF('Management and Hedging'!$G$13="yes",BH82+BI82,CQ82)</f>
        <v>9.9042157106018075E-3</v>
      </c>
      <c r="BH82" s="92">
        <f>HLOOKUP(BH$1,'Asset Returns'!$F$1:$ZY$109,ROW(),0)*'Management and Hedging'!$G$10</f>
        <v>1.4885960000000002E-2</v>
      </c>
      <c r="BI82" s="92">
        <f>HLOOKUP(BI$1,'Asset Returns'!$F$1:$ZY$109,ROW(),0)*'Management and Hedging'!$G$11</f>
        <v>-4.9817442893981935E-3</v>
      </c>
      <c r="BJ82" s="92">
        <f>HLOOKUP(BJ$1,'AC4'!$F$1:$AC$109,ROW(),0)</f>
        <v>7.4229799999999999E-2</v>
      </c>
      <c r="BK82" s="92">
        <f>HLOOKUP(BK$1,'AC4'!$F$1:$AC$109,ROW(),0)</f>
        <v>-6.4271803617477414E-3</v>
      </c>
      <c r="BL82" s="138">
        <f ca="1">'Management and Hedging'!$R$34</f>
        <v>2.5919346055080732</v>
      </c>
      <c r="BM82" s="138">
        <f ca="1">'Management and Hedging'!$R$36</f>
        <v>-2.1312105104673718</v>
      </c>
      <c r="BN82" s="138">
        <f>'Management and Hedging'!$R$38</f>
        <v>-1.1865814872722835</v>
      </c>
      <c r="BO82" s="138">
        <f>INDEX(LINEST(BJ22:BJ82,'AC2'!$F22:$J82,1,1),1,1)</f>
        <v>2.9903786005905819</v>
      </c>
      <c r="BP82" s="138">
        <f>INDEX(LINEST(BK22:BK82,'AC2'!$F22:$J82,1,1),1,1)</f>
        <v>-2.8627328697255447</v>
      </c>
      <c r="BQ82" s="138">
        <f>INDEX(LINEST(BC22:BC82,'AC2'!$F22:$J82,1,1),1,1)</f>
        <v>-1.6921105756623198</v>
      </c>
      <c r="BR82" s="138"/>
      <c r="BS82" s="138"/>
      <c r="BT82" s="138"/>
      <c r="BU82" s="138"/>
      <c r="BV82" s="138"/>
      <c r="BW82" s="138"/>
      <c r="BX82" s="138"/>
      <c r="BY82" s="138"/>
      <c r="BZ82" s="138"/>
      <c r="CA82" s="138"/>
      <c r="CB82" s="138"/>
      <c r="CC82" s="138"/>
      <c r="CD82" s="138"/>
      <c r="CE82" s="138"/>
      <c r="CF82" s="138"/>
      <c r="CG82" s="138"/>
      <c r="CH82" s="138"/>
      <c r="CI82" s="138"/>
      <c r="CJ82" s="138"/>
      <c r="CK82" s="343">
        <f>CK81*(1+BA82+'Risk Factors'!$J82)</f>
        <v>0.20056965247576869</v>
      </c>
      <c r="CL82" s="343">
        <f>CL81*(1+BB82+'Risk Factors'!$J82)</f>
        <v>1.1973371602022314</v>
      </c>
      <c r="CN82" s="343">
        <f t="shared" si="27"/>
        <v>0.14347855712322705</v>
      </c>
      <c r="CO82" s="343">
        <f t="shared" si="28"/>
        <v>0.8565214428767729</v>
      </c>
      <c r="CP82" s="418">
        <f t="shared" si="29"/>
        <v>1.3979068126780001</v>
      </c>
      <c r="CQ82" s="343">
        <f t="shared" si="31"/>
        <v>-2.1224431669768506E-3</v>
      </c>
      <c r="CS82" s="92"/>
      <c r="CT82" s="260"/>
      <c r="CU82" s="260"/>
      <c r="CV82" s="260"/>
      <c r="CW82" s="260"/>
      <c r="CX82" s="260"/>
      <c r="CY82" s="260"/>
      <c r="CZ82" s="260"/>
      <c r="DB82" s="325"/>
      <c r="DC82" s="92"/>
      <c r="DD82" s="92"/>
      <c r="DE82" s="260"/>
      <c r="DF82" s="260"/>
      <c r="DG82" s="260"/>
      <c r="DH82" s="260"/>
      <c r="DI82" s="260"/>
    </row>
    <row r="83" spans="6:113">
      <c r="F83" s="421">
        <v>42674</v>
      </c>
      <c r="G83" s="92">
        <f>IF(Portfolios!$G$16="yes",SUM(T83:X83),AX83)</f>
        <v>-9.6334711881354423E-3</v>
      </c>
      <c r="H83" s="138">
        <f>IF(IF(Portfolios!$J$10="no",'AC3'!Y83,'AC3'!AE83)=0,NA(),IF(Portfolios!$J$10="no",Y83,AE83))</f>
        <v>-1.1194042994620941</v>
      </c>
      <c r="I83" s="138">
        <f>IF(Portfolios!$J$11="no",NA(),IF(IF(Portfolios!$J$10="no",'AC3'!Z83,'AC3'!AF83)=0,NA(),IF(Portfolios!$J$10="no",Z83,AF83)))</f>
        <v>1.4640925548832731</v>
      </c>
      <c r="J83" s="138">
        <f>IF(Portfolios!$J$11="no",NA(),IF(IF(Portfolios!$J$10="no",'AC3'!AA83,'AC3'!AG83)=0,NA(),IF(Portfolios!$J$10="no",AA83,AG83)))</f>
        <v>0.65284064600124414</v>
      </c>
      <c r="K83" s="138">
        <f>IF(Portfolios!$J$11="no",NA(),IF(IF(Portfolios!$J$10="no",'AC3'!AB83,'AC3'!AH83)=0,NA(),IF(Portfolios!$J$10="no",AB83,AH83)))</f>
        <v>-3.0695826482973461</v>
      </c>
      <c r="L83" s="138">
        <f>IF(Portfolios!$J$11="no",NA(),IF(IF(Portfolios!$J$10="no",'AC3'!AC83,'AC3'!AI83)=0,NA(),IF(Portfolios!$J$10="no",AC83,AI83)))</f>
        <v>-1.456189390007899</v>
      </c>
      <c r="M83" s="138">
        <f>IF(Portfolios!$J$11="no",NA(),IF(IF(Portfolios!$J$10="no",'AC3'!AD83,'AC3'!AJ83)=0,NA(),IF(Portfolios!$J$10="no",AD83,AJ83)))</f>
        <v>0.13316995970513734</v>
      </c>
      <c r="N83" s="92">
        <f>G83-'Risk Factors'!J83</f>
        <v>-9.8334711881354429E-3</v>
      </c>
      <c r="O83" s="260">
        <f>HLOOKUP(O$1,'Asset Returns'!$F$1:$N$109,ROW(),0)-'Risk Factors'!$J83</f>
        <v>9.8567005574703211E-3</v>
      </c>
      <c r="P83" s="260">
        <f>HLOOKUP(P$1,'Asset Returns'!$F$1:$N$109,ROW(),0)-'Risk Factors'!$J83</f>
        <v>5.1543897502124311E-4</v>
      </c>
      <c r="Q83" s="260">
        <f>HLOOKUP(Q$1,'Asset Returns'!$F$1:$N$109,ROW(),0)-'Risk Factors'!$J83</f>
        <v>-2.7586728674173354E-2</v>
      </c>
      <c r="R83" s="260">
        <f>HLOOKUP(R$1,'Asset Returns'!$F$1:$N$109,ROW(),0)-'Risk Factors'!$J83</f>
        <v>1.3273426923155784E-2</v>
      </c>
      <c r="S83" s="260">
        <f>HLOOKUP(S$1,'Asset Returns'!$F$1:$N$109,ROW(),0)-'Risk Factors'!$J83</f>
        <v>-3.2883473080396651E-2</v>
      </c>
      <c r="T83" s="260">
        <f>HLOOKUP(T$1,'Asset Returns'!$F$1:$N$109,ROW(),0)*Portfolios!$G$10</f>
        <v>1.0056700557470322E-3</v>
      </c>
      <c r="U83" s="260">
        <f>HLOOKUP(U$1,'Asset Returns'!$F$1:$N$109,ROW(),0)*Portfolios!$G$11</f>
        <v>7.1543897502124312E-5</v>
      </c>
      <c r="V83" s="260">
        <f>HLOOKUP(V$1,'Asset Returns'!$F$1:$N$109,ROW(),0)*Portfolios!$G$12</f>
        <v>-8.2160186022520055E-3</v>
      </c>
      <c r="W83" s="260">
        <f>HLOOKUP(W$1,'Asset Returns'!$F$1:$N$109,ROW(),0)*Portfolios!$G$13</f>
        <v>4.042028076946735E-3</v>
      </c>
      <c r="X83" s="260">
        <f>HLOOKUP(X$1,'Asset Returns'!$F$1:$N$109,ROW(),0)*Portfolios!$G$14</f>
        <v>-6.5366946160793291E-3</v>
      </c>
      <c r="Y83" s="138">
        <f>Portfolios!$R$34</f>
        <v>-0.68211369708646341</v>
      </c>
      <c r="Z83" s="138">
        <f>Portfolios!$P$11</f>
        <v>0.9378377404978776</v>
      </c>
      <c r="AA83" s="138">
        <f>Portfolios!$P$12</f>
        <v>0.64097224418739052</v>
      </c>
      <c r="AB83" s="138">
        <f>Portfolios!$P$13</f>
        <v>-2.1312105104673718</v>
      </c>
      <c r="AC83" s="138">
        <f>Portfolios!$P$14</f>
        <v>-0.78557102570241866</v>
      </c>
      <c r="AD83" s="138">
        <f>Portfolios!$P$15</f>
        <v>0.17519882647973573</v>
      </c>
      <c r="AE83" s="183">
        <f>INDEX(LINEST(N23:N83,'AC2'!$F23:$J83,1,1),1,1)</f>
        <v>-1.1194042994620941</v>
      </c>
      <c r="AF83" s="183">
        <f>INDEX(LINEST(O23:O83,'AC2'!$F23:$J83,1,1),1,1)</f>
        <v>1.4640925548832731</v>
      </c>
      <c r="AG83" s="183">
        <f>INDEX(LINEST(P23:P83,'AC2'!$F23:$J83,1,1),1,1)</f>
        <v>0.65284064600124414</v>
      </c>
      <c r="AH83" s="183">
        <f>INDEX(LINEST(Q23:Q83,'AC2'!$F23:$J83,1,1),1,1)</f>
        <v>-3.0695826482973461</v>
      </c>
      <c r="AI83" s="183">
        <f>INDEX(LINEST(R23:R83,'AC2'!$F23:$J83,1,1),1,1)</f>
        <v>-1.456189390007899</v>
      </c>
      <c r="AJ83" s="183">
        <f>INDEX(LINEST(S23:S83,'AC2'!$F23:$J83,1,1),1,1)</f>
        <v>0.13316995970513734</v>
      </c>
      <c r="AL83" s="343">
        <f>AL82*(1+O83+'Risk Factors'!$J83)</f>
        <v>8.3881989332426826E-2</v>
      </c>
      <c r="AM83" s="343">
        <f>AM82*(1+P83+'Risk Factors'!$J83)</f>
        <v>0.25405706562851216</v>
      </c>
      <c r="AN83" s="343">
        <f>AN82*(1+Q83+'Risk Factors'!$J83)</f>
        <v>0.40148240795433504</v>
      </c>
      <c r="AO83" s="343">
        <f>AO82*(1+R83+'Risk Factors'!$J83)</f>
        <v>0.48771065254244045</v>
      </c>
      <c r="AP83" s="343">
        <f>AP82*(1+S83+'Risk Factors'!$J83)</f>
        <v>0.27352620893928142</v>
      </c>
      <c r="AR83" s="343">
        <f t="shared" si="21"/>
        <v>5.5896794072783244E-2</v>
      </c>
      <c r="AS83" s="343">
        <f t="shared" si="22"/>
        <v>0.16929707548891851</v>
      </c>
      <c r="AT83" s="343">
        <f t="shared" si="23"/>
        <v>0.26753752098477268</v>
      </c>
      <c r="AU83" s="343">
        <f t="shared" si="24"/>
        <v>0.32499779904157433</v>
      </c>
      <c r="AV83" s="343">
        <f t="shared" si="25"/>
        <v>0.18227081041195137</v>
      </c>
      <c r="AW83" s="418">
        <f t="shared" si="26"/>
        <v>1.5006583243969958</v>
      </c>
      <c r="AX83" s="343">
        <f t="shared" si="30"/>
        <v>-8.6186911338066441E-3</v>
      </c>
      <c r="AZ83" s="421">
        <v>42674</v>
      </c>
      <c r="BA83" s="92">
        <f>HLOOKUP(BA$1,'AC4'!$F$1:$AC$109,ROW(),0)*'Management and Hedging'!$G$10</f>
        <v>-2.3280220000000004E-2</v>
      </c>
      <c r="BB83" s="92">
        <f>HLOOKUP(BB$1,'AC4'!$F$1:$AC$109,ROW(),0)*'Management and Hedging'!$G$11</f>
        <v>-2.2069382939338685E-2</v>
      </c>
      <c r="BC83" s="92">
        <f>IF('Management and Hedging'!$G$13="yes",BA83+BB83,CQ83)</f>
        <v>-4.5349602939338693E-2</v>
      </c>
      <c r="BD83" s="138">
        <f>IF(IF('Management and Hedging'!$J$10="no",BL83,BO83)=0,NA(),IF('Management and Hedging'!$J$10="no",BL83,BO83))</f>
        <v>2.9449157754665012</v>
      </c>
      <c r="BE83" s="138">
        <f>IF(IF('Management and Hedging'!$J$10="no",BM83,BP83)=0,NA(),IF('Management and Hedging'!$J$10="no",BM83,BP83))</f>
        <v>-3.0695826482973461</v>
      </c>
      <c r="BF83" s="138">
        <f>IF(IF('Management and Hedging'!$J$10="no",BN83,BQ83)=0,NA(),IF('Management and Hedging'!$J$10="no",BN83,BQ83))</f>
        <v>-1.8666829635445767</v>
      </c>
      <c r="BG83" s="92">
        <f>IF('Management and Hedging'!$G$13="yes",BH83+BI83,CQ83)</f>
        <v>-4.5149602939338687E-2</v>
      </c>
      <c r="BH83" s="92">
        <f>HLOOKUP(BH$1,'Asset Returns'!$F$1:$ZY$109,ROW(),0)*'Management and Hedging'!$G$10</f>
        <v>-2.3240220000000002E-2</v>
      </c>
      <c r="BI83" s="92">
        <f>HLOOKUP(BI$1,'Asset Returns'!$F$1:$ZY$109,ROW(),0)*'Management and Hedging'!$G$11</f>
        <v>-2.1909382939338685E-2</v>
      </c>
      <c r="BJ83" s="92">
        <f>HLOOKUP(BJ$1,'AC4'!$F$1:$AC$109,ROW(),0)</f>
        <v>-0.11640110000000001</v>
      </c>
      <c r="BK83" s="92">
        <f>HLOOKUP(BK$1,'AC4'!$F$1:$AC$109,ROW(),0)</f>
        <v>-2.7586728674173354E-2</v>
      </c>
      <c r="BL83" s="138">
        <f ca="1">'Management and Hedging'!$R$34</f>
        <v>2.5919346055080732</v>
      </c>
      <c r="BM83" s="138">
        <f ca="1">'Management and Hedging'!$R$36</f>
        <v>-2.1312105104673718</v>
      </c>
      <c r="BN83" s="138">
        <f>'Management and Hedging'!$R$38</f>
        <v>-1.1865814872722835</v>
      </c>
      <c r="BO83" s="138">
        <f>INDEX(LINEST(BJ23:BJ83,'AC2'!$F23:$J83,1,1),1,1)</f>
        <v>2.9449157754665012</v>
      </c>
      <c r="BP83" s="138">
        <f>INDEX(LINEST(BK23:BK83,'AC2'!$F23:$J83,1,1),1,1)</f>
        <v>-3.0695826482973461</v>
      </c>
      <c r="BQ83" s="138">
        <f>INDEX(LINEST(BC23:BC83,'AC2'!$F23:$J83,1,1),1,1)</f>
        <v>-1.8666829635445767</v>
      </c>
      <c r="BR83" s="138"/>
      <c r="BS83" s="138"/>
      <c r="BT83" s="138"/>
      <c r="BU83" s="138"/>
      <c r="BV83" s="138"/>
      <c r="BW83" s="138"/>
      <c r="BX83" s="138"/>
      <c r="BY83" s="138"/>
      <c r="BZ83" s="138"/>
      <c r="CA83" s="138"/>
      <c r="CB83" s="138"/>
      <c r="CC83" s="138"/>
      <c r="CD83" s="138"/>
      <c r="CE83" s="138"/>
      <c r="CF83" s="138"/>
      <c r="CG83" s="138"/>
      <c r="CH83" s="138"/>
      <c r="CI83" s="138"/>
      <c r="CJ83" s="138"/>
      <c r="CK83" s="343">
        <f>CK82*(1+BA83+'Risk Factors'!$J83)</f>
        <v>0.19594046077130442</v>
      </c>
      <c r="CL83" s="343">
        <f>CL82*(1+BB83+'Risk Factors'!$J83)</f>
        <v>1.1711521353382683</v>
      </c>
      <c r="CN83" s="343">
        <f t="shared" si="27"/>
        <v>0.14332640036885969</v>
      </c>
      <c r="CO83" s="343">
        <f t="shared" si="28"/>
        <v>0.85667359963114031</v>
      </c>
      <c r="CP83" s="418">
        <f t="shared" si="29"/>
        <v>1.3670925961095728</v>
      </c>
      <c r="CQ83" s="343">
        <f t="shared" si="31"/>
        <v>-2.204311209371379E-2</v>
      </c>
      <c r="CS83" s="92"/>
      <c r="CT83" s="260"/>
      <c r="CU83" s="260"/>
      <c r="CV83" s="260"/>
      <c r="CW83" s="260"/>
      <c r="CX83" s="260"/>
      <c r="CY83" s="260"/>
      <c r="CZ83" s="260"/>
      <c r="DB83" s="325"/>
      <c r="DC83" s="92"/>
      <c r="DD83" s="92"/>
      <c r="DE83" s="260"/>
      <c r="DF83" s="260"/>
      <c r="DG83" s="260"/>
      <c r="DH83" s="260"/>
      <c r="DI83" s="260"/>
    </row>
    <row r="84" spans="6:113">
      <c r="F84" s="421">
        <v>42704</v>
      </c>
      <c r="G84" s="92">
        <f>IF(Portfolios!$G$16="yes",SUM(T84:X84),AX84)</f>
        <v>-5.4719714913517244E-2</v>
      </c>
      <c r="H84" s="138">
        <f>IF(IF(Portfolios!$J$10="no",'AC3'!Y84,'AC3'!AE84)=0,NA(),IF(Portfolios!$J$10="no",Y84,AE84))</f>
        <v>-1.0887218726463965</v>
      </c>
      <c r="I84" s="138">
        <f>IF(Portfolios!$J$11="no",NA(),IF(IF(Portfolios!$J$10="no",'AC3'!Z84,'AC3'!AF84)=0,NA(),IF(Portfolios!$J$10="no",Z84,AF84)))</f>
        <v>1.3084734848773136</v>
      </c>
      <c r="J84" s="138">
        <f>IF(Portfolios!$J$11="no",NA(),IF(IF(Portfolios!$J$10="no",'AC3'!AA84,'AC3'!AG84)=0,NA(),IF(Portfolios!$J$10="no",AA84,AG84)))</f>
        <v>0.66946867165968826</v>
      </c>
      <c r="K84" s="138">
        <f>IF(Portfolios!$J$11="no",NA(),IF(IF(Portfolios!$J$10="no",'AC3'!AB84,'AC3'!AH84)=0,NA(),IF(Portfolios!$J$10="no",AB84,AH84)))</f>
        <v>-3.0762871059450307</v>
      </c>
      <c r="L84" s="138">
        <f>IF(Portfolios!$J$11="no",NA(),IF(IF(Portfolios!$J$10="no",'AC3'!AC84,'AC3'!AI84)=0,NA(),IF(Portfolios!$J$10="no",AC84,AI84)))</f>
        <v>-1.3585240934334608</v>
      </c>
      <c r="M84" s="138">
        <f>IF(Portfolios!$J$11="no",NA(),IF(IF(Portfolios!$J$10="no",'AC3'!AD84,'AC3'!AJ84)=0,NA(),IF(Portfolios!$J$10="no",AD84,AJ84)))</f>
        <v>0.2196363575672535</v>
      </c>
      <c r="N84" s="92">
        <f>G84-'Risk Factors'!J84</f>
        <v>-5.4819714913517247E-2</v>
      </c>
      <c r="O84" s="260">
        <f>HLOOKUP(O$1,'Asset Returns'!$F$1:$N$109,ROW(),0)-'Risk Factors'!$J84</f>
        <v>-1.0979273526370525E-2</v>
      </c>
      <c r="P84" s="260">
        <f>HLOOKUP(P$1,'Asset Returns'!$F$1:$N$109,ROW(),0)-'Risk Factors'!$J84</f>
        <v>-0.16566602716445922</v>
      </c>
      <c r="Q84" s="260">
        <f>HLOOKUP(Q$1,'Asset Returns'!$F$1:$N$109,ROW(),0)-'Risk Factors'!$J84</f>
        <v>-0.17558456788063048</v>
      </c>
      <c r="R84" s="260">
        <f>HLOOKUP(R$1,'Asset Returns'!$F$1:$N$109,ROW(),0)-'Risk Factors'!$J84</f>
        <v>8.5176525801420218E-3</v>
      </c>
      <c r="S84" s="260">
        <f>HLOOKUP(S$1,'Asset Returns'!$F$1:$N$109,ROW(),0)-'Risk Factors'!$J84</f>
        <v>6.4824448728561399E-2</v>
      </c>
      <c r="T84" s="260">
        <f>HLOOKUP(T$1,'Asset Returns'!$F$1:$N$109,ROW(),0)*Portfolios!$G$10</f>
        <v>-1.0879273526370526E-3</v>
      </c>
      <c r="U84" s="260">
        <f>HLOOKUP(U$1,'Asset Returns'!$F$1:$N$109,ROW(),0)*Portfolios!$G$11</f>
        <v>-1.6556602716445924E-2</v>
      </c>
      <c r="V84" s="260">
        <f>HLOOKUP(V$1,'Asset Returns'!$F$1:$N$109,ROW(),0)*Portfolios!$G$12</f>
        <v>-5.2645370364189148E-2</v>
      </c>
      <c r="W84" s="260">
        <f>HLOOKUP(W$1,'Asset Returns'!$F$1:$N$109,ROW(),0)*Portfolios!$G$13</f>
        <v>2.5852957740426061E-3</v>
      </c>
      <c r="X84" s="260">
        <f>HLOOKUP(X$1,'Asset Returns'!$F$1:$N$109,ROW(),0)*Portfolios!$G$14</f>
        <v>1.2984889745712278E-2</v>
      </c>
      <c r="Y84" s="138">
        <f>Portfolios!$R$34</f>
        <v>-0.68211369708646341</v>
      </c>
      <c r="Z84" s="138">
        <f>Portfolios!$P$11</f>
        <v>0.9378377404978776</v>
      </c>
      <c r="AA84" s="138">
        <f>Portfolios!$P$12</f>
        <v>0.64097224418739052</v>
      </c>
      <c r="AB84" s="138">
        <f>Portfolios!$P$13</f>
        <v>-2.1312105104673718</v>
      </c>
      <c r="AC84" s="138">
        <f>Portfolios!$P$14</f>
        <v>-0.78557102570241866</v>
      </c>
      <c r="AD84" s="138">
        <f>Portfolios!$P$15</f>
        <v>0.17519882647973573</v>
      </c>
      <c r="AE84" s="183">
        <f>INDEX(LINEST(N24:N84,'AC2'!$F24:$J84,1,1),1,1)</f>
        <v>-1.0887218726463965</v>
      </c>
      <c r="AF84" s="183">
        <f>INDEX(LINEST(O24:O84,'AC2'!$F24:$J84,1,1),1,1)</f>
        <v>1.3084734848773136</v>
      </c>
      <c r="AG84" s="183">
        <f>INDEX(LINEST(P24:P84,'AC2'!$F24:$J84,1,1),1,1)</f>
        <v>0.66946867165968826</v>
      </c>
      <c r="AH84" s="183">
        <f>INDEX(LINEST(Q24:Q84,'AC2'!$F24:$J84,1,1),1,1)</f>
        <v>-3.0762871059450307</v>
      </c>
      <c r="AI84" s="183">
        <f>INDEX(LINEST(R24:R84,'AC2'!$F24:$J84,1,1),1,1)</f>
        <v>-1.3585240934334608</v>
      </c>
      <c r="AJ84" s="183">
        <f>INDEX(LINEST(S24:S84,'AC2'!$F24:$J84,1,1),1,1)</f>
        <v>0.2196363575672535</v>
      </c>
      <c r="AL84" s="343">
        <f>AL83*(1+O84+'Risk Factors'!$J84)</f>
        <v>8.2969414226543262E-2</v>
      </c>
      <c r="AM84" s="343">
        <f>AM83*(1+P84+'Risk Factors'!$J84)</f>
        <v>0.21199384659933912</v>
      </c>
      <c r="AN84" s="343">
        <f>AN83*(1+Q84+'Risk Factors'!$J84)</f>
        <v>0.33102844108279356</v>
      </c>
      <c r="AO84" s="343">
        <f>AO83*(1+R84+'Risk Factors'!$J84)</f>
        <v>0.49191357350568554</v>
      </c>
      <c r="AP84" s="343">
        <f>AP83*(1+S84+'Risk Factors'!$J84)</f>
        <v>0.29128474726747755</v>
      </c>
      <c r="AR84" s="343">
        <f t="shared" si="21"/>
        <v>5.8877378416747242E-2</v>
      </c>
      <c r="AS84" s="343">
        <f t="shared" si="22"/>
        <v>0.15043666445770898</v>
      </c>
      <c r="AT84" s="343">
        <f t="shared" si="23"/>
        <v>0.23490688676095725</v>
      </c>
      <c r="AU84" s="343">
        <f t="shared" si="24"/>
        <v>0.34907540188903802</v>
      </c>
      <c r="AV84" s="343">
        <f t="shared" si="25"/>
        <v>0.20670366847554852</v>
      </c>
      <c r="AW84" s="418">
        <f t="shared" si="26"/>
        <v>1.409190022681839</v>
      </c>
      <c r="AX84" s="343">
        <f t="shared" si="30"/>
        <v>-6.0952116966339509E-2</v>
      </c>
      <c r="AZ84" s="421">
        <v>42704</v>
      </c>
      <c r="BA84" s="92">
        <f>HLOOKUP(BA$1,'AC4'!$F$1:$AC$109,ROW(),0)*'Management and Hedging'!$G$10</f>
        <v>-3.5923919999999998E-2</v>
      </c>
      <c r="BB84" s="92">
        <f>HLOOKUP(BB$1,'AC4'!$F$1:$AC$109,ROW(),0)*'Management and Hedging'!$G$11</f>
        <v>-0.14046765430450439</v>
      </c>
      <c r="BC84" s="92">
        <f>IF('Management and Hedging'!$G$13="yes",BA84+BB84,CQ84)</f>
        <v>-0.17639157430450439</v>
      </c>
      <c r="BD84" s="138">
        <f>IF(IF('Management and Hedging'!$J$10="no",BL84,BO84)=0,NA(),IF('Management and Hedging'!$J$10="no",BL84,BO84))</f>
        <v>3.0882661569353642</v>
      </c>
      <c r="BE84" s="138">
        <f>IF(IF('Management and Hedging'!$J$10="no",BM84,BP84)=0,NA(),IF('Management and Hedging'!$J$10="no",BM84,BP84))</f>
        <v>-3.0762871059450307</v>
      </c>
      <c r="BF84" s="138">
        <f>IF(IF('Management and Hedging'!$J$10="no",BN84,BQ84)=0,NA(),IF('Management and Hedging'!$J$10="no",BN84,BQ84))</f>
        <v>-1.8433764533689516</v>
      </c>
      <c r="BG84" s="92">
        <f>IF('Management and Hedging'!$G$13="yes",BH84+BI84,CQ84)</f>
        <v>-0.1762915743045044</v>
      </c>
      <c r="BH84" s="92">
        <f>HLOOKUP(BH$1,'Asset Returns'!$F$1:$ZY$109,ROW(),0)*'Management and Hedging'!$G$10</f>
        <v>-3.5903919999999999E-2</v>
      </c>
      <c r="BI84" s="92">
        <f>HLOOKUP(BI$1,'Asset Returns'!$F$1:$ZY$109,ROW(),0)*'Management and Hedging'!$G$11</f>
        <v>-0.14038765430450439</v>
      </c>
      <c r="BJ84" s="92">
        <f>HLOOKUP(BJ$1,'AC4'!$F$1:$AC$109,ROW(),0)</f>
        <v>-0.17961959999999999</v>
      </c>
      <c r="BK84" s="92">
        <f>HLOOKUP(BK$1,'AC4'!$F$1:$AC$109,ROW(),0)</f>
        <v>-0.17558456788063048</v>
      </c>
      <c r="BL84" s="138">
        <f ca="1">'Management and Hedging'!$R$34</f>
        <v>2.5919346055080732</v>
      </c>
      <c r="BM84" s="138">
        <f ca="1">'Management and Hedging'!$R$36</f>
        <v>-2.1312105104673718</v>
      </c>
      <c r="BN84" s="138">
        <f>'Management and Hedging'!$R$38</f>
        <v>-1.1865814872722835</v>
      </c>
      <c r="BO84" s="138">
        <f>INDEX(LINEST(BJ24:BJ84,'AC2'!$F24:$J84,1,1),1,1)</f>
        <v>3.0882661569353642</v>
      </c>
      <c r="BP84" s="138">
        <f>INDEX(LINEST(BK24:BK84,'AC2'!$F24:$J84,1,1),1,1)</f>
        <v>-3.0762871059450307</v>
      </c>
      <c r="BQ84" s="138">
        <f>INDEX(LINEST(BC24:BC84,'AC2'!$F24:$J84,1,1),1,1)</f>
        <v>-1.8433764533689516</v>
      </c>
      <c r="BR84" s="138"/>
      <c r="BS84" s="138"/>
      <c r="BT84" s="138"/>
      <c r="BU84" s="138"/>
      <c r="BV84" s="138"/>
      <c r="BW84" s="138"/>
      <c r="BX84" s="138"/>
      <c r="BY84" s="138"/>
      <c r="BZ84" s="138"/>
      <c r="CA84" s="138"/>
      <c r="CB84" s="138"/>
      <c r="CC84" s="138"/>
      <c r="CD84" s="138"/>
      <c r="CE84" s="138"/>
      <c r="CF84" s="138"/>
      <c r="CG84" s="138"/>
      <c r="CH84" s="138"/>
      <c r="CI84" s="138"/>
      <c r="CJ84" s="138"/>
      <c r="CK84" s="343">
        <f>CK83*(1+BA84+'Risk Factors'!$J84)</f>
        <v>0.18892110537987006</v>
      </c>
      <c r="CL84" s="343">
        <f>CL83*(1+BB84+'Risk Factors'!$J84)</f>
        <v>1.0067602572671241</v>
      </c>
      <c r="CN84" s="343">
        <f t="shared" si="27"/>
        <v>0.15800288545238952</v>
      </c>
      <c r="CO84" s="343">
        <f t="shared" si="28"/>
        <v>0.8419971145476105</v>
      </c>
      <c r="CP84" s="418">
        <f t="shared" si="29"/>
        <v>1.1956813626469942</v>
      </c>
      <c r="CQ84" s="343">
        <f t="shared" si="31"/>
        <v>-0.12538377718552129</v>
      </c>
      <c r="CS84" s="92"/>
      <c r="CT84" s="260"/>
      <c r="CU84" s="260"/>
      <c r="CV84" s="260"/>
      <c r="CW84" s="260"/>
      <c r="CX84" s="260"/>
      <c r="CY84" s="260"/>
      <c r="CZ84" s="260"/>
      <c r="DB84" s="325"/>
      <c r="DC84" s="92"/>
      <c r="DD84" s="92"/>
      <c r="DE84" s="260"/>
      <c r="DF84" s="260"/>
      <c r="DG84" s="260"/>
      <c r="DH84" s="260"/>
      <c r="DI84" s="260"/>
    </row>
    <row r="85" spans="6:113">
      <c r="F85" s="421">
        <v>42735</v>
      </c>
      <c r="G85" s="92">
        <f>IF(Portfolios!$G$16="yes",SUM(T85:X85),AX85)</f>
        <v>1.662369929254055E-2</v>
      </c>
      <c r="H85" s="138">
        <f>IF(IF(Portfolios!$J$10="no",'AC3'!Y85,'AC3'!AE85)=0,NA(),IF(Portfolios!$J$10="no",Y85,AE85))</f>
        <v>-1.038367192791789</v>
      </c>
      <c r="I85" s="138">
        <f>IF(Portfolios!$J$11="no",NA(),IF(IF(Portfolios!$J$10="no",'AC3'!Z85,'AC3'!AF85)=0,NA(),IF(Portfolios!$J$10="no",Z85,AF85)))</f>
        <v>1.2483252094764468</v>
      </c>
      <c r="J85" s="138">
        <f>IF(Portfolios!$J$11="no",NA(),IF(IF(Portfolios!$J$10="no",'AC3'!AA85,'AC3'!AG85)=0,NA(),IF(Portfolios!$J$10="no",AA85,AG85)))</f>
        <v>0.81305041671939005</v>
      </c>
      <c r="K85" s="138">
        <f>IF(Portfolios!$J$11="no",NA(),IF(IF(Portfolios!$J$10="no",'AC3'!AB85,'AC3'!AH85)=0,NA(),IF(Portfolios!$J$10="no",AB85,AH85)))</f>
        <v>-2.9148622502103843</v>
      </c>
      <c r="L85" s="138">
        <f>IF(Portfolios!$J$11="no",NA(),IF(IF(Portfolios!$J$10="no",'AC3'!AC85,'AC3'!AI85)=0,NA(),IF(Portfolios!$J$10="no",AC85,AI85)))</f>
        <v>-1.3240161129375061</v>
      </c>
      <c r="M85" s="138">
        <f>IF(Portfolios!$J$11="no",NA(),IF(IF(Portfolios!$J$10="no",'AC3'!AD85,'AC3'!AJ85)=0,NA(),IF(Portfolios!$J$10="no",AD85,AJ85)))</f>
        <v>0.13579376766497206</v>
      </c>
      <c r="N85" s="92">
        <f>G85-'Risk Factors'!J85</f>
        <v>1.6323699292540548E-2</v>
      </c>
      <c r="O85" s="260">
        <f>HLOOKUP(O$1,'Asset Returns'!$F$1:$N$109,ROW(),0)-'Risk Factors'!$J85</f>
        <v>9.6340869975090032E-2</v>
      </c>
      <c r="P85" s="260">
        <f>HLOOKUP(P$1,'Asset Returns'!$F$1:$N$109,ROW(),0)-'Risk Factors'!$J85</f>
        <v>3.5817672920227049E-2</v>
      </c>
      <c r="Q85" s="260">
        <f>HLOOKUP(Q$1,'Asset Returns'!$F$1:$N$109,ROW(),0)-'Risk Factors'!$J85</f>
        <v>-1.4720942403376102E-2</v>
      </c>
      <c r="R85" s="260">
        <f>HLOOKUP(R$1,'Asset Returns'!$F$1:$N$109,ROW(),0)-'Risk Factors'!$J85</f>
        <v>9.9870585396885873E-3</v>
      </c>
      <c r="S85" s="260">
        <f>HLOOKUP(S$1,'Asset Returns'!$F$1:$N$109,ROW(),0)-'Risk Factors'!$J85</f>
        <v>2.2640050810575484E-2</v>
      </c>
      <c r="T85" s="260">
        <f>HLOOKUP(T$1,'Asset Returns'!$F$1:$N$109,ROW(),0)*Portfolios!$G$10</f>
        <v>9.664086997509003E-3</v>
      </c>
      <c r="U85" s="260">
        <f>HLOOKUP(U$1,'Asset Returns'!$F$1:$N$109,ROW(),0)*Portfolios!$G$11</f>
        <v>3.6117672920227052E-3</v>
      </c>
      <c r="V85" s="260">
        <f>HLOOKUP(V$1,'Asset Returns'!$F$1:$N$109,ROW(),0)*Portfolios!$G$12</f>
        <v>-4.3262827210128309E-3</v>
      </c>
      <c r="W85" s="260">
        <f>HLOOKUP(W$1,'Asset Returns'!$F$1:$N$109,ROW(),0)*Portfolios!$G$13</f>
        <v>3.0861175619065762E-3</v>
      </c>
      <c r="X85" s="260">
        <f>HLOOKUP(X$1,'Asset Returns'!$F$1:$N$109,ROW(),0)*Portfolios!$G$14</f>
        <v>4.5880101621150957E-3</v>
      </c>
      <c r="Y85" s="138">
        <f>Portfolios!$R$34</f>
        <v>-0.68211369708646341</v>
      </c>
      <c r="Z85" s="138">
        <f>Portfolios!$P$11</f>
        <v>0.9378377404978776</v>
      </c>
      <c r="AA85" s="138">
        <f>Portfolios!$P$12</f>
        <v>0.64097224418739052</v>
      </c>
      <c r="AB85" s="138">
        <f>Portfolios!$P$13</f>
        <v>-2.1312105104673718</v>
      </c>
      <c r="AC85" s="138">
        <f>Portfolios!$P$14</f>
        <v>-0.78557102570241866</v>
      </c>
      <c r="AD85" s="138">
        <f>Portfolios!$P$15</f>
        <v>0.17519882647973573</v>
      </c>
      <c r="AE85" s="183">
        <f>INDEX(LINEST(N25:N85,'AC2'!$F25:$J85,1,1),1,1)</f>
        <v>-1.038367192791789</v>
      </c>
      <c r="AF85" s="183">
        <f>INDEX(LINEST(O25:O85,'AC2'!$F25:$J85,1,1),1,1)</f>
        <v>1.2483252094764468</v>
      </c>
      <c r="AG85" s="183">
        <f>INDEX(LINEST(P25:P85,'AC2'!$F25:$J85,1,1),1,1)</f>
        <v>0.81305041671939005</v>
      </c>
      <c r="AH85" s="183">
        <f>INDEX(LINEST(Q25:Q85,'AC2'!$F25:$J85,1,1),1,1)</f>
        <v>-2.9148622502103843</v>
      </c>
      <c r="AI85" s="183">
        <f>INDEX(LINEST(R25:R85,'AC2'!$F25:$J85,1,1),1,1)</f>
        <v>-1.3240161129375061</v>
      </c>
      <c r="AJ85" s="183">
        <f>INDEX(LINEST(S25:S85,'AC2'!$F25:$J85,1,1),1,1)</f>
        <v>0.13579376766497206</v>
      </c>
      <c r="AL85" s="343">
        <f>AL84*(1+O85+'Risk Factors'!$J85)</f>
        <v>9.0987650598720007E-2</v>
      </c>
      <c r="AM85" s="343">
        <f>AM84*(1+P85+'Risk Factors'!$J85)</f>
        <v>0.21965057101191485</v>
      </c>
      <c r="AN85" s="343">
        <f>AN84*(1+Q85+'Risk Factors'!$J85)</f>
        <v>0.32625469900005921</v>
      </c>
      <c r="AO85" s="343">
        <f>AO84*(1+R85+'Risk Factors'!$J85)</f>
        <v>0.49697391723280593</v>
      </c>
      <c r="AP85" s="343">
        <f>AP84*(1+S85+'Risk Factors'!$J85)</f>
        <v>0.29796683417013914</v>
      </c>
      <c r="AR85" s="343">
        <f t="shared" si="21"/>
        <v>6.3546243098725835E-2</v>
      </c>
      <c r="AS85" s="343">
        <f t="shared" si="22"/>
        <v>0.15340508838782393</v>
      </c>
      <c r="AT85" s="343">
        <f t="shared" si="23"/>
        <v>0.22785795960590552</v>
      </c>
      <c r="AU85" s="343">
        <f t="shared" si="24"/>
        <v>0.34708913957435683</v>
      </c>
      <c r="AV85" s="343">
        <f t="shared" si="25"/>
        <v>0.20810156933318774</v>
      </c>
      <c r="AW85" s="418">
        <f t="shared" si="26"/>
        <v>1.4318336720136393</v>
      </c>
      <c r="AX85" s="343">
        <f t="shared" si="30"/>
        <v>1.6068556381563903E-2</v>
      </c>
      <c r="AZ85" s="421">
        <v>42735</v>
      </c>
      <c r="BA85" s="92">
        <f>HLOOKUP(BA$1,'AC4'!$F$1:$AC$109,ROW(),0)*'Management and Hedging'!$G$10</f>
        <v>-3.6694600000000003E-3</v>
      </c>
      <c r="BB85" s="92">
        <f>HLOOKUP(BB$1,'AC4'!$F$1:$AC$109,ROW(),0)*'Management and Hedging'!$G$11</f>
        <v>-1.1776753922700882E-2</v>
      </c>
      <c r="BC85" s="92">
        <f>IF('Management and Hedging'!$G$13="yes",BA85+BB85,CQ85)</f>
        <v>-1.5446213922700881E-2</v>
      </c>
      <c r="BD85" s="138">
        <f>IF(IF('Management and Hedging'!$J$10="no",BL85,BO85)=0,NA(),IF('Management and Hedging'!$J$10="no",BL85,BO85))</f>
        <v>3.0655965585711109</v>
      </c>
      <c r="BE85" s="138">
        <f>IF(IF('Management and Hedging'!$J$10="no",BM85,BP85)=0,NA(),IF('Management and Hedging'!$J$10="no",BM85,BP85))</f>
        <v>-2.9148622502103843</v>
      </c>
      <c r="BF85" s="138">
        <f>IF(IF('Management and Hedging'!$J$10="no",BN85,BQ85)=0,NA(),IF('Management and Hedging'!$J$10="no",BN85,BQ85))</f>
        <v>-1.7187704884540858</v>
      </c>
      <c r="BG85" s="92">
        <f>IF('Management and Hedging'!$G$13="yes",BH85+BI85,CQ85)</f>
        <v>-1.5146213922700883E-2</v>
      </c>
      <c r="BH85" s="92">
        <f>HLOOKUP(BH$1,'Asset Returns'!$F$1:$ZY$109,ROW(),0)*'Management and Hedging'!$G$10</f>
        <v>-3.6094600000000001E-3</v>
      </c>
      <c r="BI85" s="92">
        <f>HLOOKUP(BI$1,'Asset Returns'!$F$1:$ZY$109,ROW(),0)*'Management and Hedging'!$G$11</f>
        <v>-1.1536753922700883E-2</v>
      </c>
      <c r="BJ85" s="92">
        <f>HLOOKUP(BJ$1,'AC4'!$F$1:$AC$109,ROW(),0)</f>
        <v>-1.83473E-2</v>
      </c>
      <c r="BK85" s="92">
        <f>HLOOKUP(BK$1,'AC4'!$F$1:$AC$109,ROW(),0)</f>
        <v>-1.4720942403376102E-2</v>
      </c>
      <c r="BL85" s="138">
        <f ca="1">'Management and Hedging'!$R$34</f>
        <v>2.5919346055080732</v>
      </c>
      <c r="BM85" s="138">
        <f ca="1">'Management and Hedging'!$R$36</f>
        <v>-2.1312105104673718</v>
      </c>
      <c r="BN85" s="138">
        <f>'Management and Hedging'!$R$38</f>
        <v>-1.1865814872722835</v>
      </c>
      <c r="BO85" s="138">
        <f>INDEX(LINEST(BJ25:BJ85,'AC2'!$F25:$J85,1,1),1,1)</f>
        <v>3.0655965585711109</v>
      </c>
      <c r="BP85" s="138">
        <f>INDEX(LINEST(BK25:BK85,'AC2'!$F25:$J85,1,1),1,1)</f>
        <v>-2.9148622502103843</v>
      </c>
      <c r="BQ85" s="138">
        <f>INDEX(LINEST(BC25:BC85,'AC2'!$F25:$J85,1,1),1,1)</f>
        <v>-1.7187704884540858</v>
      </c>
      <c r="BR85" s="138"/>
      <c r="BS85" s="138"/>
      <c r="BT85" s="138"/>
      <c r="BU85" s="138"/>
      <c r="BV85" s="138"/>
      <c r="BW85" s="138"/>
      <c r="BX85" s="138"/>
      <c r="BY85" s="138"/>
      <c r="BZ85" s="138"/>
      <c r="CA85" s="138"/>
      <c r="CB85" s="138"/>
      <c r="CC85" s="138"/>
      <c r="CD85" s="138"/>
      <c r="CE85" s="138"/>
      <c r="CF85" s="138"/>
      <c r="CG85" s="138"/>
      <c r="CH85" s="138"/>
      <c r="CI85" s="138"/>
      <c r="CJ85" s="138"/>
      <c r="CK85" s="343">
        <f>CK84*(1+BA85+'Risk Factors'!$J85)</f>
        <v>0.18828454327213678</v>
      </c>
      <c r="CL85" s="343">
        <f>CL84*(1+BB85+'Risk Factors'!$J85)</f>
        <v>0.9952059175353144</v>
      </c>
      <c r="CN85" s="343">
        <f t="shared" si="27"/>
        <v>0.15909257362638757</v>
      </c>
      <c r="CO85" s="343">
        <f t="shared" si="28"/>
        <v>0.84090742637361238</v>
      </c>
      <c r="CP85" s="418">
        <f t="shared" si="29"/>
        <v>1.1834904608074512</v>
      </c>
      <c r="CQ85" s="343">
        <f t="shared" si="31"/>
        <v>-1.01957780897034E-2</v>
      </c>
      <c r="CS85" s="92"/>
      <c r="CT85" s="260"/>
      <c r="CU85" s="260"/>
      <c r="CV85" s="260"/>
      <c r="CW85" s="260"/>
      <c r="CX85" s="260"/>
      <c r="CY85" s="260"/>
      <c r="CZ85" s="260"/>
      <c r="DB85" s="325"/>
      <c r="DC85" s="92"/>
      <c r="DD85" s="92"/>
      <c r="DE85" s="260"/>
      <c r="DF85" s="260"/>
      <c r="DG85" s="260"/>
      <c r="DH85" s="260"/>
      <c r="DI85" s="260"/>
    </row>
    <row r="86" spans="6:113">
      <c r="F86" s="421">
        <v>42766</v>
      </c>
      <c r="G86" s="92">
        <f>IF(Portfolios!$G$16="yes",SUM(T86:X86),AX86)</f>
        <v>3.5705261602516067E-2</v>
      </c>
      <c r="H86" s="138">
        <f>IF(IF(Portfolios!$J$10="no",'AC3'!Y86,'AC3'!AE86)=0,NA(),IF(Portfolios!$J$10="no",Y86,AE86))</f>
        <v>-0.91261012386348928</v>
      </c>
      <c r="I86" s="138">
        <f>IF(Portfolios!$J$11="no",NA(),IF(IF(Portfolios!$J$10="no",'AC3'!Z86,'AC3'!AF86)=0,NA(),IF(Portfolios!$J$10="no",Z86,AF86)))</f>
        <v>0.88230566849050618</v>
      </c>
      <c r="J86" s="138">
        <f>IF(Portfolios!$J$11="no",NA(),IF(IF(Portfolios!$J$10="no",'AC3'!AA86,'AC3'!AG86)=0,NA(),IF(Portfolios!$J$10="no",AA86,AG86)))</f>
        <v>0.79669863671886998</v>
      </c>
      <c r="K86" s="138">
        <f>IF(Portfolios!$J$11="no",NA(),IF(IF(Portfolios!$J$10="no",'AC3'!AB86,'AC3'!AH86)=0,NA(),IF(Portfolios!$J$10="no",AB86,AH86)))</f>
        <v>-2.4969205079016832</v>
      </c>
      <c r="L86" s="138">
        <f>IF(Portfolios!$J$11="no",NA(),IF(IF(Portfolios!$J$10="no",'AC3'!AC86,'AC3'!AI86)=0,NA(),IF(Portfolios!$J$10="no",AC86,AI86)))</f>
        <v>-1.2444497605166789</v>
      </c>
      <c r="M86" s="138">
        <f>IF(Portfolios!$J$11="no",NA(),IF(IF(Portfolios!$J$10="no",'AC3'!AD86,'AC3'!AJ86)=0,NA(),IF(Portfolios!$J$10="no",AD86,AJ86)))</f>
        <v>0.20950263070541075</v>
      </c>
      <c r="N86" s="92">
        <f>G86-'Risk Factors'!J86</f>
        <v>3.5305261602516069E-2</v>
      </c>
      <c r="O86" s="260">
        <f>HLOOKUP(O$1,'Asset Returns'!$F$1:$N$109,ROW(),0)-'Risk Factors'!$J86</f>
        <v>-5.565659610632627E-2</v>
      </c>
      <c r="P86" s="260">
        <f>HLOOKUP(P$1,'Asset Returns'!$F$1:$N$109,ROW(),0)-'Risk Factors'!$J86</f>
        <v>0.1092446700507614</v>
      </c>
      <c r="Q86" s="260">
        <f>HLOOKUP(Q$1,'Asset Returns'!$F$1:$N$109,ROW(),0)-'Risk Factors'!$J86</f>
        <v>7.4409512814592474E-2</v>
      </c>
      <c r="R86" s="260">
        <f>HLOOKUP(R$1,'Asset Returns'!$F$1:$N$109,ROW(),0)-'Risk Factors'!$J86</f>
        <v>-8.57907877744306E-3</v>
      </c>
      <c r="S86" s="260">
        <f>HLOOKUP(S$1,'Asset Returns'!$F$1:$N$109,ROW(),0)-'Risk Factors'!$J86</f>
        <v>5.0986619984638673E-2</v>
      </c>
      <c r="T86" s="260">
        <f>HLOOKUP(T$1,'Asset Returns'!$F$1:$N$109,ROW(),0)*Portfolios!$G$10</f>
        <v>-5.5256596106326274E-3</v>
      </c>
      <c r="U86" s="260">
        <f>HLOOKUP(U$1,'Asset Returns'!$F$1:$N$109,ROW(),0)*Portfolios!$G$11</f>
        <v>1.0964467005076139E-2</v>
      </c>
      <c r="V86" s="260">
        <f>HLOOKUP(V$1,'Asset Returns'!$F$1:$N$109,ROW(),0)*Portfolios!$G$12</f>
        <v>2.244285384437774E-2</v>
      </c>
      <c r="W86" s="260">
        <f>HLOOKUP(W$1,'Asset Returns'!$F$1:$N$109,ROW(),0)*Portfolios!$G$13</f>
        <v>-2.453723633232918E-3</v>
      </c>
      <c r="X86" s="260">
        <f>HLOOKUP(X$1,'Asset Returns'!$F$1:$N$109,ROW(),0)*Portfolios!$G$14</f>
        <v>1.0277323996927731E-2</v>
      </c>
      <c r="Y86" s="138">
        <f>Portfolios!$R$34</f>
        <v>-0.68211369708646341</v>
      </c>
      <c r="Z86" s="138">
        <f>Portfolios!$P$11</f>
        <v>0.9378377404978776</v>
      </c>
      <c r="AA86" s="138">
        <f>Portfolios!$P$12</f>
        <v>0.64097224418739052</v>
      </c>
      <c r="AB86" s="138">
        <f>Portfolios!$P$13</f>
        <v>-2.1312105104673718</v>
      </c>
      <c r="AC86" s="138">
        <f>Portfolios!$P$14</f>
        <v>-0.78557102570241866</v>
      </c>
      <c r="AD86" s="138">
        <f>Portfolios!$P$15</f>
        <v>0.17519882647973573</v>
      </c>
      <c r="AE86" s="183">
        <f>INDEX(LINEST(N26:N86,'AC2'!$F26:$J86,1,1),1,1)</f>
        <v>-0.91261012386348928</v>
      </c>
      <c r="AF86" s="183">
        <f>INDEX(LINEST(O26:O86,'AC2'!$F26:$J86,1,1),1,1)</f>
        <v>0.88230566849050618</v>
      </c>
      <c r="AG86" s="183">
        <f>INDEX(LINEST(P26:P86,'AC2'!$F26:$J86,1,1),1,1)</f>
        <v>0.79669863671886998</v>
      </c>
      <c r="AH86" s="183">
        <f>INDEX(LINEST(Q26:Q86,'AC2'!$F26:$J86,1,1),1,1)</f>
        <v>-2.4969205079016832</v>
      </c>
      <c r="AI86" s="183">
        <f>INDEX(LINEST(R26:R86,'AC2'!$F26:$J86,1,1),1,1)</f>
        <v>-1.2444497605166789</v>
      </c>
      <c r="AJ86" s="183">
        <f>INDEX(LINEST(S26:S86,'AC2'!$F26:$J86,1,1),1,1)</f>
        <v>0.20950263070541075</v>
      </c>
      <c r="AL86" s="343">
        <f>AL85*(1+O86+'Risk Factors'!$J86)</f>
        <v>8.5959982738922996E-2</v>
      </c>
      <c r="AM86" s="343">
        <f>AM85*(1+P86+'Risk Factors'!$J86)</f>
        <v>0.24373408539697758</v>
      </c>
      <c r="AN86" s="343">
        <f>AN85*(1+Q86+'Risk Factors'!$J86)</f>
        <v>0.35066165408572514</v>
      </c>
      <c r="AO86" s="343">
        <f>AO85*(1+R86+'Risk Factors'!$J86)</f>
        <v>0.49290912841342432</v>
      </c>
      <c r="AP86" s="343">
        <f>AP85*(1+S86+'Risk Factors'!$J86)</f>
        <v>0.31327834264566595</v>
      </c>
      <c r="AR86" s="343">
        <f t="shared" si="21"/>
        <v>5.7825418815590696E-2</v>
      </c>
      <c r="AS86" s="343">
        <f t="shared" si="22"/>
        <v>0.16396031174786813</v>
      </c>
      <c r="AT86" s="343">
        <f t="shared" si="23"/>
        <v>0.23589065939741372</v>
      </c>
      <c r="AU86" s="343">
        <f t="shared" si="24"/>
        <v>0.3315807644482916</v>
      </c>
      <c r="AV86" s="343">
        <f t="shared" si="25"/>
        <v>0.21074284559083581</v>
      </c>
      <c r="AW86" s="418">
        <f t="shared" si="26"/>
        <v>1.486543193280716</v>
      </c>
      <c r="AX86" s="343">
        <f t="shared" si="30"/>
        <v>3.8209411006612681E-2</v>
      </c>
      <c r="AZ86" s="421">
        <v>42766</v>
      </c>
      <c r="BA86" s="92">
        <f>HLOOKUP(BA$1,'AC4'!$F$1:$AC$109,ROW(),0)*'Management and Hedging'!$G$10</f>
        <v>2.8896379999999999E-2</v>
      </c>
      <c r="BB86" s="92">
        <f>HLOOKUP(BB$1,'AC4'!$F$1:$AC$109,ROW(),0)*'Management and Hedging'!$G$11</f>
        <v>5.9527610251673982E-2</v>
      </c>
      <c r="BC86" s="92">
        <f>IF('Management and Hedging'!$G$13="yes",BA86+BB86,CQ86)</f>
        <v>8.8423990251673981E-2</v>
      </c>
      <c r="BD86" s="138">
        <f>IF(IF('Management and Hedging'!$J$10="no",BL86,BO86)=0,NA(),IF('Management and Hedging'!$J$10="no",BL86,BO86))</f>
        <v>3.0182307040113519</v>
      </c>
      <c r="BE86" s="138">
        <f>IF(IF('Management and Hedging'!$J$10="no",BM86,BP86)=0,NA(),IF('Management and Hedging'!$J$10="no",BM86,BP86))</f>
        <v>-2.4969205079016832</v>
      </c>
      <c r="BF86" s="138">
        <f>IF(IF('Management and Hedging'!$J$10="no",BN86,BQ86)=0,NA(),IF('Management and Hedging'!$J$10="no",BN86,BQ86))</f>
        <v>-1.393890265519077</v>
      </c>
      <c r="BG86" s="92">
        <f>IF('Management and Hedging'!$G$13="yes",BH86+BI86,CQ86)</f>
        <v>8.8823990251673979E-2</v>
      </c>
      <c r="BH86" s="92">
        <f>HLOOKUP(BH$1,'Asset Returns'!$F$1:$ZY$109,ROW(),0)*'Management and Hedging'!$G$10</f>
        <v>2.8976380000000003E-2</v>
      </c>
      <c r="BI86" s="92">
        <f>HLOOKUP(BI$1,'Asset Returns'!$F$1:$ZY$109,ROW(),0)*'Management and Hedging'!$G$11</f>
        <v>5.9847610251673983E-2</v>
      </c>
      <c r="BJ86" s="92">
        <f>HLOOKUP(BJ$1,'AC4'!$F$1:$AC$109,ROW(),0)</f>
        <v>0.1444819</v>
      </c>
      <c r="BK86" s="92">
        <f>HLOOKUP(BK$1,'AC4'!$F$1:$AC$109,ROW(),0)</f>
        <v>7.4409512814592474E-2</v>
      </c>
      <c r="BL86" s="138">
        <f ca="1">'Management and Hedging'!$R$34</f>
        <v>2.5919346055080732</v>
      </c>
      <c r="BM86" s="138">
        <f ca="1">'Management and Hedging'!$R$36</f>
        <v>-2.1312105104673718</v>
      </c>
      <c r="BN86" s="138">
        <f>'Management and Hedging'!$R$38</f>
        <v>-1.1865814872722835</v>
      </c>
      <c r="BO86" s="138">
        <f>INDEX(LINEST(BJ26:BJ86,'AC2'!$F26:$J86,1,1),1,1)</f>
        <v>3.0182307040113519</v>
      </c>
      <c r="BP86" s="138">
        <f>INDEX(LINEST(BK26:BK86,'AC2'!$F26:$J86,1,1),1,1)</f>
        <v>-2.4969205079016832</v>
      </c>
      <c r="BQ86" s="138">
        <f>INDEX(LINEST(BC26:BC86,'AC2'!$F26:$J86,1,1),1,1)</f>
        <v>-1.393890265519077</v>
      </c>
      <c r="BR86" s="138"/>
      <c r="BS86" s="138"/>
      <c r="BT86" s="138"/>
      <c r="BU86" s="138"/>
      <c r="BV86" s="138"/>
      <c r="BW86" s="138"/>
      <c r="BX86" s="138"/>
      <c r="BY86" s="138"/>
      <c r="BZ86" s="138"/>
      <c r="CA86" s="138"/>
      <c r="CB86" s="138"/>
      <c r="CC86" s="138"/>
      <c r="CD86" s="138"/>
      <c r="CE86" s="138"/>
      <c r="CF86" s="138"/>
      <c r="CG86" s="138"/>
      <c r="CH86" s="138"/>
      <c r="CI86" s="138"/>
      <c r="CJ86" s="138"/>
      <c r="CK86" s="343">
        <f>CK85*(1+BA86+'Risk Factors'!$J86)</f>
        <v>0.19380059879996372</v>
      </c>
      <c r="CL86" s="343">
        <f>CL85*(1+BB86+'Risk Factors'!$J86)</f>
        <v>1.0548462298815302</v>
      </c>
      <c r="CN86" s="343">
        <f t="shared" si="27"/>
        <v>0.15520849799026604</v>
      </c>
      <c r="CO86" s="343">
        <f t="shared" si="28"/>
        <v>0.84479150200973385</v>
      </c>
      <c r="CP86" s="418">
        <f t="shared" si="29"/>
        <v>1.248646828681494</v>
      </c>
      <c r="CQ86" s="343">
        <f t="shared" si="31"/>
        <v>5.5054408997592619E-2</v>
      </c>
      <c r="CS86" s="92"/>
      <c r="CT86" s="260"/>
      <c r="CU86" s="260"/>
      <c r="CV86" s="260"/>
      <c r="CW86" s="260"/>
      <c r="CX86" s="260"/>
      <c r="CY86" s="260"/>
      <c r="CZ86" s="260"/>
      <c r="DB86" s="325"/>
      <c r="DC86" s="92"/>
      <c r="DD86" s="92"/>
      <c r="DE86" s="260"/>
      <c r="DF86" s="260"/>
      <c r="DG86" s="260"/>
      <c r="DH86" s="260"/>
      <c r="DI86" s="260"/>
    </row>
    <row r="87" spans="6:113">
      <c r="F87" s="421">
        <v>42794</v>
      </c>
      <c r="G87" s="92">
        <f>IF(Portfolios!$G$16="yes",SUM(T87:X87),AX87)</f>
        <v>3.8063585049670848E-3</v>
      </c>
      <c r="H87" s="138">
        <f>IF(IF(Portfolios!$J$10="no",'AC3'!Y87,'AC3'!AE87)=0,NA(),IF(Portfolios!$J$10="no",Y87,AE87))</f>
        <v>-0.91057697882155031</v>
      </c>
      <c r="I87" s="138">
        <f>IF(Portfolios!$J$11="no",NA(),IF(IF(Portfolios!$J$10="no",'AC3'!Z87,'AC3'!AF87)=0,NA(),IF(Portfolios!$J$10="no",Z87,AF87)))</f>
        <v>0.889749949644983</v>
      </c>
      <c r="J87" s="138">
        <f>IF(Portfolios!$J$11="no",NA(),IF(IF(Portfolios!$J$10="no",'AC3'!AA87,'AC3'!AG87)=0,NA(),IF(Portfolios!$J$10="no",AA87,AG87)))</f>
        <v>0.76678324374758866</v>
      </c>
      <c r="K87" s="138">
        <f>IF(Portfolios!$J$11="no",NA(),IF(IF(Portfolios!$J$10="no",'AC3'!AB87,'AC3'!AH87)=0,NA(),IF(Portfolios!$J$10="no",AB87,AH87)))</f>
        <v>-2.4729244287079681</v>
      </c>
      <c r="L87" s="138">
        <f>IF(Portfolios!$J$11="no",NA(),IF(IF(Portfolios!$J$10="no",'AC3'!AC87,'AC3'!AI87)=0,NA(),IF(Portfolios!$J$10="no",AC87,AI87)))</f>
        <v>-1.2512402739650672</v>
      </c>
      <c r="M87" s="138">
        <f>IF(Portfolios!$J$11="no",NA(),IF(IF(Portfolios!$J$10="no",'AC3'!AD87,'AC3'!AJ87)=0,NA(),IF(Portfolios!$J$10="no",AD87,AJ87)))</f>
        <v>0.20509556320551398</v>
      </c>
      <c r="N87" s="92">
        <f>G87-'Risk Factors'!J87</f>
        <v>3.4063585049670846E-3</v>
      </c>
      <c r="O87" s="260">
        <f>HLOOKUP(O$1,'Asset Returns'!$F$1:$N$109,ROW(),0)-'Risk Factors'!$J87</f>
        <v>-3.4399413455879976E-2</v>
      </c>
      <c r="P87" s="260">
        <f>HLOOKUP(P$1,'Asset Returns'!$F$1:$N$109,ROW(),0)-'Risk Factors'!$J87</f>
        <v>-0.11332641484773236</v>
      </c>
      <c r="Q87" s="260">
        <f>HLOOKUP(Q$1,'Asset Returns'!$F$1:$N$109,ROW(),0)-'Risk Factors'!$J87</f>
        <v>6.2901109917651257E-2</v>
      </c>
      <c r="R87" s="260">
        <f>HLOOKUP(R$1,'Asset Returns'!$F$1:$N$109,ROW(),0)-'Risk Factors'!$J87</f>
        <v>-2.7743750000000001E-2</v>
      </c>
      <c r="S87" s="260">
        <f>HLOOKUP(S$1,'Asset Returns'!$F$1:$N$109,ROW(),0)-'Risk Factors'!$J87</f>
        <v>3.8158666800164734E-2</v>
      </c>
      <c r="T87" s="260">
        <f>HLOOKUP(T$1,'Asset Returns'!$F$1:$N$109,ROW(),0)*Portfolios!$G$10</f>
        <v>-3.399941345587998E-3</v>
      </c>
      <c r="U87" s="260">
        <f>HLOOKUP(U$1,'Asset Returns'!$F$1:$N$109,ROW(),0)*Portfolios!$G$11</f>
        <v>-1.1292641484773236E-2</v>
      </c>
      <c r="V87" s="260">
        <f>HLOOKUP(V$1,'Asset Returns'!$F$1:$N$109,ROW(),0)*Portfolios!$G$12</f>
        <v>1.8990332975295374E-2</v>
      </c>
      <c r="W87" s="260">
        <f>HLOOKUP(W$1,'Asset Returns'!$F$1:$N$109,ROW(),0)*Portfolios!$G$13</f>
        <v>-8.2031250000000003E-3</v>
      </c>
      <c r="X87" s="260">
        <f>HLOOKUP(X$1,'Asset Returns'!$F$1:$N$109,ROW(),0)*Portfolios!$G$14</f>
        <v>7.7117333600329446E-3</v>
      </c>
      <c r="Y87" s="138">
        <f>Portfolios!$R$34</f>
        <v>-0.68211369708646341</v>
      </c>
      <c r="Z87" s="138">
        <f>Portfolios!$P$11</f>
        <v>0.9378377404978776</v>
      </c>
      <c r="AA87" s="138">
        <f>Portfolios!$P$12</f>
        <v>0.64097224418739052</v>
      </c>
      <c r="AB87" s="138">
        <f>Portfolios!$P$13</f>
        <v>-2.1312105104673718</v>
      </c>
      <c r="AC87" s="138">
        <f>Portfolios!$P$14</f>
        <v>-0.78557102570241866</v>
      </c>
      <c r="AD87" s="138">
        <f>Portfolios!$P$15</f>
        <v>0.17519882647973573</v>
      </c>
      <c r="AE87" s="183">
        <f>INDEX(LINEST(N27:N87,'AC2'!$F27:$J87,1,1),1,1)</f>
        <v>-0.91057697882155031</v>
      </c>
      <c r="AF87" s="183">
        <f>INDEX(LINEST(O27:O87,'AC2'!$F27:$J87,1,1),1,1)</f>
        <v>0.889749949644983</v>
      </c>
      <c r="AG87" s="183">
        <f>INDEX(LINEST(P27:P87,'AC2'!$F27:$J87,1,1),1,1)</f>
        <v>0.76678324374758866</v>
      </c>
      <c r="AH87" s="183">
        <f>INDEX(LINEST(Q27:Q87,'AC2'!$F27:$J87,1,1),1,1)</f>
        <v>-2.4729244287079681</v>
      </c>
      <c r="AI87" s="183">
        <f>INDEX(LINEST(R27:R87,'AC2'!$F27:$J87,1,1),1,1)</f>
        <v>-1.2512402739650672</v>
      </c>
      <c r="AJ87" s="183">
        <f>INDEX(LINEST(S27:S87,'AC2'!$F27:$J87,1,1),1,1)</f>
        <v>0.20509556320551398</v>
      </c>
      <c r="AL87" s="343">
        <f>AL86*(1+O87+'Risk Factors'!$J87)</f>
        <v>8.3037393745122048E-2</v>
      </c>
      <c r="AM87" s="343">
        <f>AM86*(1+P87+'Risk Factors'!$J87)</f>
        <v>0.21621006895690587</v>
      </c>
      <c r="AN87" s="343">
        <f>AN86*(1+Q87+'Risk Factors'!$J87)</f>
        <v>0.37285892599491105</v>
      </c>
      <c r="AO87" s="343">
        <f>AO86*(1+R87+'Risk Factors'!$J87)</f>
        <v>0.47943114443336976</v>
      </c>
      <c r="AP87" s="343">
        <f>AP86*(1+S87+'Risk Factors'!$J87)</f>
        <v>0.32535793787544803</v>
      </c>
      <c r="AR87" s="343">
        <f t="shared" si="21"/>
        <v>5.6224286264872962E-2</v>
      </c>
      <c r="AS87" s="343">
        <f t="shared" si="22"/>
        <v>0.14639497053211772</v>
      </c>
      <c r="AT87" s="343">
        <f t="shared" si="23"/>
        <v>0.25246128335744467</v>
      </c>
      <c r="AU87" s="343">
        <f t="shared" si="24"/>
        <v>0.32462090503052332</v>
      </c>
      <c r="AV87" s="343">
        <f t="shared" si="25"/>
        <v>0.22029855481504138</v>
      </c>
      <c r="AW87" s="418">
        <f t="shared" si="26"/>
        <v>1.4768954710057567</v>
      </c>
      <c r="AX87" s="343">
        <f t="shared" si="30"/>
        <v>-6.4900383107384663E-3</v>
      </c>
      <c r="AZ87" s="421">
        <v>42794</v>
      </c>
      <c r="BA87" s="92">
        <f>HLOOKUP(BA$1,'AC4'!$F$1:$AC$109,ROW(),0)*'Management and Hedging'!$G$10</f>
        <v>-6.1322600000000005E-3</v>
      </c>
      <c r="BB87" s="92">
        <f>HLOOKUP(BB$1,'AC4'!$F$1:$AC$109,ROW(),0)*'Management and Hedging'!$G$11</f>
        <v>5.0320887934121011E-2</v>
      </c>
      <c r="BC87" s="92">
        <f>IF('Management and Hedging'!$G$13="yes",BA87+BB87,CQ87)</f>
        <v>4.4188627934121011E-2</v>
      </c>
      <c r="BD87" s="138">
        <f>IF(IF('Management and Hedging'!$J$10="no",BL87,BO87)=0,NA(),IF('Management and Hedging'!$J$10="no",BL87,BO87))</f>
        <v>3.0346332844379802</v>
      </c>
      <c r="BE87" s="138">
        <f>IF(IF('Management and Hedging'!$J$10="no",BM87,BP87)=0,NA(),IF('Management and Hedging'!$J$10="no",BM87,BP87))</f>
        <v>-2.4729244287079681</v>
      </c>
      <c r="BF87" s="138">
        <f>IF(IF('Management and Hedging'!$J$10="no",BN87,BQ87)=0,NA(),IF('Management and Hedging'!$J$10="no",BN87,BQ87))</f>
        <v>-1.371412886078778</v>
      </c>
      <c r="BG87" s="92">
        <f>IF('Management and Hedging'!$G$13="yes",BH87+BI87,CQ87)</f>
        <v>4.4588627934121008E-2</v>
      </c>
      <c r="BH87" s="92">
        <f>HLOOKUP(BH$1,'Asset Returns'!$F$1:$ZY$109,ROW(),0)*'Management and Hedging'!$G$10</f>
        <v>-6.0522600000000003E-3</v>
      </c>
      <c r="BI87" s="92">
        <f>HLOOKUP(BI$1,'Asset Returns'!$F$1:$ZY$109,ROW(),0)*'Management and Hedging'!$G$11</f>
        <v>5.0640887934121005E-2</v>
      </c>
      <c r="BJ87" s="92">
        <f>HLOOKUP(BJ$1,'AC4'!$F$1:$AC$109,ROW(),0)</f>
        <v>-3.0661300000000002E-2</v>
      </c>
      <c r="BK87" s="92">
        <f>HLOOKUP(BK$1,'AC4'!$F$1:$AC$109,ROW(),0)</f>
        <v>6.2901109917651257E-2</v>
      </c>
      <c r="BL87" s="138">
        <f ca="1">'Management and Hedging'!$R$34</f>
        <v>2.5919346055080732</v>
      </c>
      <c r="BM87" s="138">
        <f ca="1">'Management and Hedging'!$R$36</f>
        <v>-2.1312105104673718</v>
      </c>
      <c r="BN87" s="138">
        <f>'Management and Hedging'!$R$38</f>
        <v>-1.1865814872722835</v>
      </c>
      <c r="BO87" s="138">
        <f>INDEX(LINEST(BJ27:BJ87,'AC2'!$F27:$J87,1,1),1,1)</f>
        <v>3.0346332844379802</v>
      </c>
      <c r="BP87" s="138">
        <f>INDEX(LINEST(BK27:BK87,'AC2'!$F27:$J87,1,1),1,1)</f>
        <v>-2.4729244287079681</v>
      </c>
      <c r="BQ87" s="138">
        <f>INDEX(LINEST(BC27:BC87,'AC2'!$F27:$J87,1,1),1,1)</f>
        <v>-1.371412886078778</v>
      </c>
      <c r="BR87" s="138"/>
      <c r="BS87" s="138"/>
      <c r="BT87" s="138"/>
      <c r="BU87" s="138"/>
      <c r="BV87" s="138"/>
      <c r="BW87" s="138"/>
      <c r="BX87" s="138"/>
      <c r="BY87" s="138"/>
      <c r="BZ87" s="138"/>
      <c r="CA87" s="138"/>
      <c r="CB87" s="138"/>
      <c r="CC87" s="138"/>
      <c r="CD87" s="138"/>
      <c r="CE87" s="138"/>
      <c r="CF87" s="138"/>
      <c r="CG87" s="138"/>
      <c r="CH87" s="138"/>
      <c r="CI87" s="138"/>
      <c r="CJ87" s="138"/>
      <c r="CK87" s="343">
        <f>CK86*(1+BA87+'Risk Factors'!$J87)</f>
        <v>0.19268968337948664</v>
      </c>
      <c r="CL87" s="343">
        <f>CL86*(1+BB87+'Risk Factors'!$J87)</f>
        <v>1.1083489672950813</v>
      </c>
      <c r="CN87" s="343">
        <f t="shared" si="27"/>
        <v>0.14810450349002321</v>
      </c>
      <c r="CO87" s="343">
        <f t="shared" si="28"/>
        <v>0.85189549650997676</v>
      </c>
      <c r="CP87" s="418">
        <f t="shared" si="29"/>
        <v>1.3010386506745679</v>
      </c>
      <c r="CQ87" s="343">
        <f t="shared" si="31"/>
        <v>4.1958879636443625E-2</v>
      </c>
      <c r="CS87" s="92"/>
      <c r="CT87" s="260"/>
      <c r="CU87" s="260"/>
      <c r="CV87" s="260"/>
      <c r="CW87" s="260"/>
      <c r="CX87" s="260"/>
      <c r="CY87" s="260"/>
      <c r="CZ87" s="260"/>
      <c r="DB87" s="325"/>
      <c r="DC87" s="92"/>
      <c r="DD87" s="92"/>
      <c r="DE87" s="260"/>
      <c r="DF87" s="260"/>
      <c r="DG87" s="260"/>
      <c r="DH87" s="260"/>
      <c r="DI87" s="260"/>
    </row>
    <row r="88" spans="6:113">
      <c r="F88" s="421">
        <v>42825</v>
      </c>
      <c r="G88" s="92">
        <f>IF(Portfolios!$G$16="yes",SUM(T88:X88),AX88)</f>
        <v>1.9721317814046905E-2</v>
      </c>
      <c r="H88" s="138">
        <f>IF(IF(Portfolios!$J$10="no",'AC3'!Y88,'AC3'!AE88)=0,NA(),IF(Portfolios!$J$10="no",Y88,AE88))</f>
        <v>-0.91093959896539667</v>
      </c>
      <c r="I88" s="138">
        <f>IF(Portfolios!$J$11="no",NA(),IF(IF(Portfolios!$J$10="no",'AC3'!Z88,'AC3'!AF88)=0,NA(),IF(Portfolios!$J$10="no",Z88,AF88)))</f>
        <v>0.87925885871939868</v>
      </c>
      <c r="J88" s="138">
        <f>IF(Portfolios!$J$11="no",NA(),IF(IF(Portfolios!$J$10="no",'AC3'!AA88,'AC3'!AG88)=0,NA(),IF(Portfolios!$J$10="no",AA88,AG88)))</f>
        <v>0.75909989983324944</v>
      </c>
      <c r="K88" s="138">
        <f>IF(Portfolios!$J$11="no",NA(),IF(IF(Portfolios!$J$10="no",'AC3'!AB88,'AC3'!AH88)=0,NA(),IF(Portfolios!$J$10="no",AB88,AH88)))</f>
        <v>-2.5155168562609345</v>
      </c>
      <c r="L88" s="138">
        <f>IF(Portfolios!$J$11="no",NA(),IF(IF(Portfolios!$J$10="no",'AC3'!AC88,'AC3'!AI88)=0,NA(),IF(Portfolios!$J$10="no",AC88,AI88)))</f>
        <v>-1.2139762544129027</v>
      </c>
      <c r="M88" s="138">
        <f>IF(Portfolios!$J$11="no",NA(),IF(IF(Portfolios!$J$10="no",'AC3'!AD88,'AC3'!AJ88)=0,NA(),IF(Portfolios!$J$10="no",AD88,AJ88)))</f>
        <v>0.22036229190744797</v>
      </c>
      <c r="N88" s="92">
        <f>G88-'Risk Factors'!J88</f>
        <v>1.9421317814046903E-2</v>
      </c>
      <c r="O88" s="260">
        <f>HLOOKUP(O$1,'Asset Returns'!$F$1:$N$109,ROW(),0)-'Risk Factors'!$J88</f>
        <v>1.3424163588949789E-2</v>
      </c>
      <c r="P88" s="260">
        <f>HLOOKUP(P$1,'Asset Returns'!$F$1:$N$109,ROW(),0)-'Risk Factors'!$J88</f>
        <v>4.7585663768970186E-2</v>
      </c>
      <c r="Q88" s="260">
        <f>HLOOKUP(Q$1,'Asset Returns'!$F$1:$N$109,ROW(),0)-'Risk Factors'!$J88</f>
        <v>9.563238601926069E-2</v>
      </c>
      <c r="R88" s="260">
        <f>HLOOKUP(R$1,'Asset Returns'!$F$1:$N$109,ROW(),0)-'Risk Factors'!$J88</f>
        <v>-2.9974252565818794E-2</v>
      </c>
      <c r="S88" s="260">
        <f>HLOOKUP(S$1,'Asset Returns'!$F$1:$N$109,ROW(),0)-'Risk Factors'!$J88</f>
        <v>-3.1885524788888321E-2</v>
      </c>
      <c r="T88" s="260">
        <f>HLOOKUP(T$1,'Asset Returns'!$F$1:$N$109,ROW(),0)*Portfolios!$G$10</f>
        <v>1.3724163588949791E-3</v>
      </c>
      <c r="U88" s="260">
        <f>HLOOKUP(U$1,'Asset Returns'!$F$1:$N$109,ROW(),0)*Portfolios!$G$11</f>
        <v>4.788566376897019E-3</v>
      </c>
      <c r="V88" s="260">
        <f>HLOOKUP(V$1,'Asset Returns'!$F$1:$N$109,ROW(),0)*Portfolios!$G$12</f>
        <v>2.8779715805778205E-2</v>
      </c>
      <c r="W88" s="260">
        <f>HLOOKUP(W$1,'Asset Returns'!$F$1:$N$109,ROW(),0)*Portfolios!$G$13</f>
        <v>-8.9022757697456382E-3</v>
      </c>
      <c r="X88" s="260">
        <f>HLOOKUP(X$1,'Asset Returns'!$F$1:$N$109,ROW(),0)*Portfolios!$G$14</f>
        <v>-6.3171049577776623E-3</v>
      </c>
      <c r="Y88" s="138">
        <f>Portfolios!$R$34</f>
        <v>-0.68211369708646341</v>
      </c>
      <c r="Z88" s="138">
        <f>Portfolios!$P$11</f>
        <v>0.9378377404978776</v>
      </c>
      <c r="AA88" s="138">
        <f>Portfolios!$P$12</f>
        <v>0.64097224418739052</v>
      </c>
      <c r="AB88" s="138">
        <f>Portfolios!$P$13</f>
        <v>-2.1312105104673718</v>
      </c>
      <c r="AC88" s="138">
        <f>Portfolios!$P$14</f>
        <v>-0.78557102570241866</v>
      </c>
      <c r="AD88" s="138">
        <f>Portfolios!$P$15</f>
        <v>0.17519882647973573</v>
      </c>
      <c r="AE88" s="183">
        <f>INDEX(LINEST(N28:N88,'AC2'!$F28:$J88,1,1),1,1)</f>
        <v>-0.91093959896539667</v>
      </c>
      <c r="AF88" s="183">
        <f>INDEX(LINEST(O28:O88,'AC2'!$F28:$J88,1,1),1,1)</f>
        <v>0.87925885871939868</v>
      </c>
      <c r="AG88" s="183">
        <f>INDEX(LINEST(P28:P88,'AC2'!$F28:$J88,1,1),1,1)</f>
        <v>0.75909989983324944</v>
      </c>
      <c r="AH88" s="183">
        <f>INDEX(LINEST(Q28:Q88,'AC2'!$F28:$J88,1,1),1,1)</f>
        <v>-2.5155168562609345</v>
      </c>
      <c r="AI88" s="183">
        <f>INDEX(LINEST(R28:R88,'AC2'!$F28:$J88,1,1),1,1)</f>
        <v>-1.2139762544129027</v>
      </c>
      <c r="AJ88" s="183">
        <f>INDEX(LINEST(S28:S88,'AC2'!$F28:$J88,1,1),1,1)</f>
        <v>0.22036229190744797</v>
      </c>
      <c r="AL88" s="343">
        <f>AL87*(1+O88+'Risk Factors'!$J88)</f>
        <v>8.417701252088014E-2</v>
      </c>
      <c r="AM88" s="343">
        <f>AM87*(1+P88+'Risk Factors'!$J88)</f>
        <v>0.22656343162244211</v>
      </c>
      <c r="AN88" s="343">
        <f>AN87*(1+Q88+'Risk Factors'!$J88)</f>
        <v>0.40862817241418181</v>
      </c>
      <c r="AO88" s="343">
        <f>AO87*(1+R88+'Risk Factors'!$J88)</f>
        <v>0.4652043835655344</v>
      </c>
      <c r="AP88" s="343">
        <f>AP87*(1+S88+'Risk Factors'!$J88)</f>
        <v>0.31508133666342147</v>
      </c>
      <c r="AR88" s="343">
        <f t="shared" si="21"/>
        <v>5.6130943282076039E-2</v>
      </c>
      <c r="AS88" s="343">
        <f t="shared" si="22"/>
        <v>0.15107710227940555</v>
      </c>
      <c r="AT88" s="343">
        <f t="shared" si="23"/>
        <v>0.27248157284685504</v>
      </c>
      <c r="AU88" s="343">
        <f t="shared" si="24"/>
        <v>0.31020774064668755</v>
      </c>
      <c r="AV88" s="343">
        <f t="shared" si="25"/>
        <v>0.21010264094497585</v>
      </c>
      <c r="AW88" s="418">
        <f t="shared" si="26"/>
        <v>1.4996543367864599</v>
      </c>
      <c r="AX88" s="343">
        <f t="shared" si="30"/>
        <v>1.5409936740617525E-2</v>
      </c>
      <c r="AZ88" s="421">
        <v>42825</v>
      </c>
      <c r="BA88" s="92">
        <f>HLOOKUP(BA$1,'AC4'!$F$1:$AC$109,ROW(),0)*'Management and Hedging'!$G$10</f>
        <v>-9.9890800000000026E-3</v>
      </c>
      <c r="BB88" s="92">
        <f>HLOOKUP(BB$1,'AC4'!$F$1:$AC$109,ROW(),0)*'Management and Hedging'!$G$11</f>
        <v>7.6505908815408558E-2</v>
      </c>
      <c r="BC88" s="92">
        <f>IF('Management and Hedging'!$G$13="yes",BA88+BB88,CQ88)</f>
        <v>6.651682881540856E-2</v>
      </c>
      <c r="BD88" s="138">
        <f>IF(IF('Management and Hedging'!$J$10="no",BL88,BO88)=0,NA(),IF('Management and Hedging'!$J$10="no",BL88,BO88))</f>
        <v>3.052067869072419</v>
      </c>
      <c r="BE88" s="138">
        <f>IF(IF('Management and Hedging'!$J$10="no",BM88,BP88)=0,NA(),IF('Management and Hedging'!$J$10="no",BM88,BP88))</f>
        <v>-2.5155168562609345</v>
      </c>
      <c r="BF88" s="138">
        <f>IF(IF('Management and Hedging'!$J$10="no",BN88,BQ88)=0,NA(),IF('Management and Hedging'!$J$10="no",BN88,BQ88))</f>
        <v>-1.4019999111942634</v>
      </c>
      <c r="BG88" s="92">
        <f>IF('Management and Hedging'!$G$13="yes",BH88+BI88,CQ88)</f>
        <v>6.6816828815408541E-2</v>
      </c>
      <c r="BH88" s="92">
        <f>HLOOKUP(BH$1,'Asset Returns'!$F$1:$ZY$109,ROW(),0)*'Management and Hedging'!$G$10</f>
        <v>-9.9290800000000016E-3</v>
      </c>
      <c r="BI88" s="92">
        <f>HLOOKUP(BI$1,'Asset Returns'!$F$1:$ZY$109,ROW(),0)*'Management and Hedging'!$G$11</f>
        <v>7.6745908815408548E-2</v>
      </c>
      <c r="BJ88" s="92">
        <f>HLOOKUP(BJ$1,'AC4'!$F$1:$AC$109,ROW(),0)</f>
        <v>-4.9945400000000008E-2</v>
      </c>
      <c r="BK88" s="92">
        <f>HLOOKUP(BK$1,'AC4'!$F$1:$AC$109,ROW(),0)</f>
        <v>9.563238601926069E-2</v>
      </c>
      <c r="BL88" s="138">
        <f ca="1">'Management and Hedging'!$R$34</f>
        <v>2.5919346055080732</v>
      </c>
      <c r="BM88" s="138">
        <f ca="1">'Management and Hedging'!$R$36</f>
        <v>-2.1312105104673718</v>
      </c>
      <c r="BN88" s="138">
        <f>'Management and Hedging'!$R$38</f>
        <v>-1.1865814872722835</v>
      </c>
      <c r="BO88" s="138">
        <f>INDEX(LINEST(BJ28:BJ88,'AC2'!$F28:$J88,1,1),1,1)</f>
        <v>3.052067869072419</v>
      </c>
      <c r="BP88" s="138">
        <f>INDEX(LINEST(BK28:BK88,'AC2'!$F28:$J88,1,1),1,1)</f>
        <v>-2.5155168562609345</v>
      </c>
      <c r="BQ88" s="138">
        <f>INDEX(LINEST(BC28:BC88,'AC2'!$F28:$J88,1,1),1,1)</f>
        <v>-1.4019999111942634</v>
      </c>
      <c r="BR88" s="138"/>
      <c r="BS88" s="138"/>
      <c r="BT88" s="138"/>
      <c r="BU88" s="138"/>
      <c r="BV88" s="138"/>
      <c r="BW88" s="138"/>
      <c r="BX88" s="138"/>
      <c r="BY88" s="138"/>
      <c r="BZ88" s="138"/>
      <c r="CA88" s="138"/>
      <c r="CB88" s="138"/>
      <c r="CC88" s="138"/>
      <c r="CD88" s="138"/>
      <c r="CE88" s="138"/>
      <c r="CF88" s="138"/>
      <c r="CG88" s="138"/>
      <c r="CH88" s="138"/>
      <c r="CI88" s="138"/>
      <c r="CJ88" s="138"/>
      <c r="CK88" s="343">
        <f>CK87*(1+BA88+'Risk Factors'!$J88)</f>
        <v>0.19082269762204812</v>
      </c>
      <c r="CL88" s="343">
        <f>CL87*(1+BB88+'Risk Factors'!$J88)</f>
        <v>1.1934767170127993</v>
      </c>
      <c r="CN88" s="343">
        <f t="shared" si="27"/>
        <v>0.13784784968097644</v>
      </c>
      <c r="CO88" s="343">
        <f t="shared" si="28"/>
        <v>0.86215215031902348</v>
      </c>
      <c r="CP88" s="418">
        <f t="shared" si="29"/>
        <v>1.3842994146348475</v>
      </c>
      <c r="CQ88" s="343">
        <f t="shared" si="31"/>
        <v>6.39956114425273E-2</v>
      </c>
      <c r="CS88" s="92"/>
      <c r="CT88" s="260"/>
      <c r="CU88" s="260"/>
      <c r="CV88" s="260"/>
      <c r="CW88" s="260"/>
      <c r="CX88" s="260"/>
      <c r="CY88" s="260"/>
      <c r="CZ88" s="260"/>
      <c r="DB88" s="325"/>
      <c r="DC88" s="92"/>
      <c r="DD88" s="92"/>
      <c r="DE88" s="260"/>
      <c r="DF88" s="260"/>
      <c r="DG88" s="260"/>
      <c r="DH88" s="260"/>
      <c r="DI88" s="260"/>
    </row>
    <row r="89" spans="6:113">
      <c r="F89" s="421">
        <v>42855</v>
      </c>
      <c r="G89" s="92">
        <f>IF(Portfolios!$G$16="yes",SUM(T89:X89),AX89)</f>
        <v>5.2571642552222235E-3</v>
      </c>
      <c r="H89" s="138">
        <f>IF(IF(Portfolios!$J$10="no",'AC3'!Y89,'AC3'!AE89)=0,NA(),IF(Portfolios!$J$10="no",Y89,AE89))</f>
        <v>-0.97998123288299344</v>
      </c>
      <c r="I89" s="138">
        <f>IF(Portfolios!$J$11="no",NA(),IF(IF(Portfolios!$J$10="no",'AC3'!Z89,'AC3'!AF89)=0,NA(),IF(Portfolios!$J$10="no",Z89,AF89)))</f>
        <v>0.79478666881806337</v>
      </c>
      <c r="J89" s="138">
        <f>IF(Portfolios!$J$11="no",NA(),IF(IF(Portfolios!$J$10="no",'AC3'!AA89,'AC3'!AG89)=0,NA(),IF(Portfolios!$J$10="no",AA89,AG89)))</f>
        <v>0.72732876623737108</v>
      </c>
      <c r="K89" s="138">
        <f>IF(Portfolios!$J$11="no",NA(),IF(IF(Portfolios!$J$10="no",'AC3'!AB89,'AC3'!AH89)=0,NA(),IF(Portfolios!$J$10="no",AB89,AH89)))</f>
        <v>-2.8255044022830504</v>
      </c>
      <c r="L89" s="138">
        <f>IF(Portfolios!$J$11="no",NA(),IF(IF(Portfolios!$J$10="no",'AC3'!AC89,'AC3'!AI89)=0,NA(),IF(Portfolios!$J$10="no",AC89,AI89)))</f>
        <v>-1.2247649516880932</v>
      </c>
      <c r="M89" s="138">
        <f>IF(Portfolios!$J$11="no",NA(),IF(IF(Portfolios!$J$10="no",'AC3'!AD89,'AC3'!AJ89)=0,NA(),IF(Portfolios!$J$10="no",AD89,AJ89)))</f>
        <v>0.41444014901403065</v>
      </c>
      <c r="N89" s="92">
        <f>G89-'Risk Factors'!J89</f>
        <v>4.7571642552222231E-3</v>
      </c>
      <c r="O89" s="260">
        <f>HLOOKUP(O$1,'Asset Returns'!$F$1:$N$109,ROW(),0)-'Risk Factors'!$J89</f>
        <v>9.6594112259651855E-5</v>
      </c>
      <c r="P89" s="260">
        <f>HLOOKUP(P$1,'Asset Returns'!$F$1:$N$109,ROW(),0)-'Risk Factors'!$J89</f>
        <v>-6.1242969628796939E-3</v>
      </c>
      <c r="Q89" s="260">
        <f>HLOOKUP(Q$1,'Asset Returns'!$F$1:$N$109,ROW(),0)-'Risk Factors'!$J89</f>
        <v>7.33316895566411E-2</v>
      </c>
      <c r="R89" s="260">
        <f>HLOOKUP(R$1,'Asset Returns'!$F$1:$N$109,ROW(),0)-'Risk Factors'!$J89</f>
        <v>-2.1095654173373664E-3</v>
      </c>
      <c r="S89" s="260">
        <f>HLOOKUP(S$1,'Asset Returns'!$F$1:$N$109,ROW(),0)-'Risk Factors'!$J89</f>
        <v>-8.0033513507534459E-2</v>
      </c>
      <c r="T89" s="260">
        <f>HLOOKUP(T$1,'Asset Returns'!$F$1:$N$109,ROW(),0)*Portfolios!$G$10</f>
        <v>5.9659411225965192E-5</v>
      </c>
      <c r="U89" s="260">
        <f>HLOOKUP(U$1,'Asset Returns'!$F$1:$N$109,ROW(),0)*Portfolios!$G$11</f>
        <v>-5.6242969628796937E-4</v>
      </c>
      <c r="V89" s="260">
        <f>HLOOKUP(V$1,'Asset Returns'!$F$1:$N$109,ROW(),0)*Portfolios!$G$12</f>
        <v>2.2149506866992328E-2</v>
      </c>
      <c r="W89" s="260">
        <f>HLOOKUP(W$1,'Asset Returns'!$F$1:$N$109,ROW(),0)*Portfolios!$G$13</f>
        <v>-4.828696252012099E-4</v>
      </c>
      <c r="X89" s="260">
        <f>HLOOKUP(X$1,'Asset Returns'!$F$1:$N$109,ROW(),0)*Portfolios!$G$14</f>
        <v>-1.5906702701506889E-2</v>
      </c>
      <c r="Y89" s="138">
        <f>Portfolios!$R$34</f>
        <v>-0.68211369708646341</v>
      </c>
      <c r="Z89" s="138">
        <f>Portfolios!$P$11</f>
        <v>0.9378377404978776</v>
      </c>
      <c r="AA89" s="138">
        <f>Portfolios!$P$12</f>
        <v>0.64097224418739052</v>
      </c>
      <c r="AB89" s="138">
        <f>Portfolios!$P$13</f>
        <v>-2.1312105104673718</v>
      </c>
      <c r="AC89" s="138">
        <f>Portfolios!$P$14</f>
        <v>-0.78557102570241866</v>
      </c>
      <c r="AD89" s="138">
        <f>Portfolios!$P$15</f>
        <v>0.17519882647973573</v>
      </c>
      <c r="AE89" s="183">
        <f>INDEX(LINEST(N29:N89,'AC2'!$F29:$J89,1,1),1,1)</f>
        <v>-0.97998123288299344</v>
      </c>
      <c r="AF89" s="183">
        <f>INDEX(LINEST(O29:O89,'AC2'!$F29:$J89,1,1),1,1)</f>
        <v>0.79478666881806337</v>
      </c>
      <c r="AG89" s="183">
        <f>INDEX(LINEST(P29:P89,'AC2'!$F29:$J89,1,1),1,1)</f>
        <v>0.72732876623737108</v>
      </c>
      <c r="AH89" s="183">
        <f>INDEX(LINEST(Q29:Q89,'AC2'!$F29:$J89,1,1),1,1)</f>
        <v>-2.8255044022830504</v>
      </c>
      <c r="AI89" s="183">
        <f>INDEX(LINEST(R29:R89,'AC2'!$F29:$J89,1,1),1,1)</f>
        <v>-1.2247649516880932</v>
      </c>
      <c r="AJ89" s="183">
        <f>INDEX(LINEST(S29:S89,'AC2'!$F29:$J89,1,1),1,1)</f>
        <v>0.41444014901403065</v>
      </c>
      <c r="AL89" s="343">
        <f>AL88*(1+O89+'Risk Factors'!$J89)</f>
        <v>8.422723203093771E-2</v>
      </c>
      <c r="AM89" s="343">
        <f>AM88*(1+P89+'Risk Factors'!$J89)</f>
        <v>0.22528917160206841</v>
      </c>
      <c r="AN89" s="343">
        <f>AN88*(1+Q89+'Risk Factors'!$J89)</f>
        <v>0.43879788078396331</v>
      </c>
      <c r="AO89" s="343">
        <f>AO88*(1+R89+'Risk Factors'!$J89)</f>
        <v>0.46445560667775354</v>
      </c>
      <c r="AP89" s="343">
        <f>AP88*(1+S89+'Risk Factors'!$J89)</f>
        <v>0.29002181091792917</v>
      </c>
      <c r="AR89" s="343">
        <f t="shared" si="21"/>
        <v>5.6047176676670647E-2</v>
      </c>
      <c r="AS89" s="343">
        <f t="shared" si="22"/>
        <v>0.14991377134991105</v>
      </c>
      <c r="AT89" s="343">
        <f t="shared" si="23"/>
        <v>0.29198849061802246</v>
      </c>
      <c r="AU89" s="343">
        <f t="shared" si="24"/>
        <v>0.30906186536412167</v>
      </c>
      <c r="AV89" s="343">
        <f t="shared" si="25"/>
        <v>0.19298869599127413</v>
      </c>
      <c r="AW89" s="418">
        <f t="shared" si="26"/>
        <v>1.5027917020126522</v>
      </c>
      <c r="AX89" s="343">
        <f t="shared" si="30"/>
        <v>2.0920589160000613E-3</v>
      </c>
      <c r="AZ89" s="421">
        <v>42855</v>
      </c>
      <c r="BA89" s="92">
        <f>HLOOKUP(BA$1,'AC4'!$F$1:$AC$109,ROW(),0)*'Management and Hedging'!$G$10</f>
        <v>-1.4129860000000001E-2</v>
      </c>
      <c r="BB89" s="92">
        <f>HLOOKUP(BB$1,'AC4'!$F$1:$AC$109,ROW(),0)*'Management and Hedging'!$G$11</f>
        <v>5.8665351645312884E-2</v>
      </c>
      <c r="BC89" s="92">
        <f>IF('Management and Hedging'!$G$13="yes",BA89+BB89,CQ89)</f>
        <v>4.4535491645312883E-2</v>
      </c>
      <c r="BD89" s="138">
        <f>IF(IF('Management and Hedging'!$J$10="no",BL89,BO89)=0,NA(),IF('Management and Hedging'!$J$10="no",BL89,BO89))</f>
        <v>3.1929778587063122</v>
      </c>
      <c r="BE89" s="138">
        <f>IF(IF('Management and Hedging'!$J$10="no",BM89,BP89)=0,NA(),IF('Management and Hedging'!$J$10="no",BM89,BP89))</f>
        <v>-2.8255044022830504</v>
      </c>
      <c r="BF89" s="138">
        <f>IF(IF('Management and Hedging'!$J$10="no",BN89,BQ89)=0,NA(),IF('Management and Hedging'!$J$10="no",BN89,BQ89))</f>
        <v>-1.6218079500851792</v>
      </c>
      <c r="BG89" s="92">
        <f>IF('Management and Hedging'!$G$13="yes",BH89+BI89,CQ89)</f>
        <v>4.5035491645312883E-2</v>
      </c>
      <c r="BH89" s="92">
        <f>HLOOKUP(BH$1,'Asset Returns'!$F$1:$ZY$109,ROW(),0)*'Management and Hedging'!$G$10</f>
        <v>-1.402986E-2</v>
      </c>
      <c r="BI89" s="92">
        <f>HLOOKUP(BI$1,'Asset Returns'!$F$1:$ZY$109,ROW(),0)*'Management and Hedging'!$G$11</f>
        <v>5.9065351645312882E-2</v>
      </c>
      <c r="BJ89" s="92">
        <f>HLOOKUP(BJ$1,'AC4'!$F$1:$AC$109,ROW(),0)</f>
        <v>-7.0649299999999998E-2</v>
      </c>
      <c r="BK89" s="92">
        <f>HLOOKUP(BK$1,'AC4'!$F$1:$AC$109,ROW(),0)</f>
        <v>7.33316895566411E-2</v>
      </c>
      <c r="BL89" s="138">
        <f ca="1">'Management and Hedging'!$R$34</f>
        <v>2.5919346055080732</v>
      </c>
      <c r="BM89" s="138">
        <f ca="1">'Management and Hedging'!$R$36</f>
        <v>-2.1312105104673718</v>
      </c>
      <c r="BN89" s="138">
        <f>'Management and Hedging'!$R$38</f>
        <v>-1.1865814872722835</v>
      </c>
      <c r="BO89" s="138">
        <f>INDEX(LINEST(BJ29:BJ89,'AC2'!$F29:$J89,1,1),1,1)</f>
        <v>3.1929778587063122</v>
      </c>
      <c r="BP89" s="138">
        <f>INDEX(LINEST(BK29:BK89,'AC2'!$F29:$J89,1,1),1,1)</f>
        <v>-2.8255044022830504</v>
      </c>
      <c r="BQ89" s="138">
        <f>INDEX(LINEST(BC29:BC89,'AC2'!$F29:$J89,1,1),1,1)</f>
        <v>-1.6218079500851792</v>
      </c>
      <c r="BR89" s="138"/>
      <c r="BS89" s="138"/>
      <c r="BT89" s="138"/>
      <c r="BU89" s="138"/>
      <c r="BV89" s="138"/>
      <c r="BW89" s="138"/>
      <c r="BX89" s="138"/>
      <c r="BY89" s="138"/>
      <c r="BZ89" s="138"/>
      <c r="CA89" s="138"/>
      <c r="CB89" s="138"/>
      <c r="CC89" s="138"/>
      <c r="CD89" s="138"/>
      <c r="CE89" s="138"/>
      <c r="CF89" s="138"/>
      <c r="CG89" s="138"/>
      <c r="CH89" s="138"/>
      <c r="CI89" s="138"/>
      <c r="CJ89" s="138"/>
      <c r="CK89" s="343">
        <f>CK88*(1+BA89+'Risk Factors'!$J89)</f>
        <v>0.18822181096863724</v>
      </c>
      <c r="CL89" s="343">
        <f>CL88*(1+BB89+'Risk Factors'!$J89)</f>
        <v>1.264089186655355</v>
      </c>
      <c r="CN89" s="343">
        <f t="shared" si="27"/>
        <v>0.12960158759148116</v>
      </c>
      <c r="CO89" s="343">
        <f t="shared" si="28"/>
        <v>0.87039841240851878</v>
      </c>
      <c r="CP89" s="418">
        <f t="shared" si="29"/>
        <v>1.4523109976239923</v>
      </c>
      <c r="CQ89" s="343">
        <f t="shared" si="31"/>
        <v>4.9130688252934762E-2</v>
      </c>
      <c r="CS89" s="92"/>
      <c r="CT89" s="260"/>
      <c r="CU89" s="260"/>
      <c r="CV89" s="260"/>
      <c r="CW89" s="260"/>
      <c r="CX89" s="260"/>
      <c r="CY89" s="260"/>
      <c r="CZ89" s="260"/>
      <c r="DB89" s="325"/>
      <c r="DC89" s="92"/>
      <c r="DD89" s="92"/>
      <c r="DE89" s="260"/>
      <c r="DF89" s="260"/>
      <c r="DG89" s="260"/>
      <c r="DH89" s="260"/>
      <c r="DI89" s="260"/>
    </row>
    <row r="90" spans="6:113">
      <c r="F90" s="421">
        <v>42886</v>
      </c>
      <c r="G90" s="92">
        <f>IF(Portfolios!$G$16="yes",SUM(T90:X90),AX90)</f>
        <v>9.9914927170182254E-3</v>
      </c>
      <c r="H90" s="138">
        <f>IF(IF(Portfolios!$J$10="no",'AC3'!Y90,'AC3'!AE90)=0,NA(),IF(Portfolios!$J$10="no",Y90,AE90))</f>
        <v>-0.96779201621776245</v>
      </c>
      <c r="I90" s="138">
        <f>IF(Portfolios!$J$11="no",NA(),IF(IF(Portfolios!$J$10="no",'AC3'!Z90,'AC3'!AF90)=0,NA(),IF(Portfolios!$J$10="no",Z90,AF90)))</f>
        <v>0.81809496028827955</v>
      </c>
      <c r="J90" s="138">
        <f>IF(Portfolios!$J$11="no",NA(),IF(IF(Portfolios!$J$10="no",'AC3'!AA90,'AC3'!AG90)=0,NA(),IF(Portfolios!$J$10="no",AA90,AG90)))</f>
        <v>0.51827017581167478</v>
      </c>
      <c r="K90" s="138">
        <f>IF(Portfolios!$J$11="no",NA(),IF(IF(Portfolios!$J$10="no",'AC3'!AB90,'AC3'!AH90)=0,NA(),IF(Portfolios!$J$10="no",AB90,AH90)))</f>
        <v>-2.7275539519453047</v>
      </c>
      <c r="L90" s="138">
        <f>IF(Portfolios!$J$11="no",NA(),IF(IF(Portfolios!$J$10="no",'AC3'!AC90,'AC3'!AI90)=0,NA(),IF(Portfolios!$J$10="no",AC90,AI90)))</f>
        <v>-1.2130073935671986</v>
      </c>
      <c r="M90" s="138">
        <f>IF(Portfolios!$J$11="no",NA(),IF(IF(Portfolios!$J$10="no",'AC3'!AD90,'AC3'!AJ90)=0,NA(),IF(Portfolios!$J$10="no",AD90,AJ90)))</f>
        <v>0.40369936912996485</v>
      </c>
      <c r="N90" s="92">
        <f>G90-'Risk Factors'!J90</f>
        <v>9.3914927170182256E-3</v>
      </c>
      <c r="O90" s="260">
        <f>HLOOKUP(O$1,'Asset Returns'!$F$1:$N$109,ROW(),0)-'Risk Factors'!$J90</f>
        <v>6.9709344139078075E-2</v>
      </c>
      <c r="P90" s="260">
        <f>HLOOKUP(P$1,'Asset Returns'!$F$1:$N$109,ROW(),0)-'Risk Factors'!$J90</f>
        <v>3.3902262443438788E-2</v>
      </c>
      <c r="Q90" s="260">
        <f>HLOOKUP(Q$1,'Asset Returns'!$F$1:$N$109,ROW(),0)-'Risk Factors'!$J90</f>
        <v>3.2618884120171707E-2</v>
      </c>
      <c r="R90" s="260">
        <f>HLOOKUP(R$1,'Asset Returns'!$F$1:$N$109,ROW(),0)-'Risk Factors'!$J90</f>
        <v>-9.8123445416858461E-3</v>
      </c>
      <c r="S90" s="260">
        <f>HLOOKUP(S$1,'Asset Returns'!$F$1:$N$109,ROW(),0)-'Risk Factors'!$J90</f>
        <v>-3.9058149073896112E-2</v>
      </c>
      <c r="T90" s="260">
        <f>HLOOKUP(T$1,'Asset Returns'!$F$1:$N$109,ROW(),0)*Portfolios!$G$10</f>
        <v>7.0309344139078082E-3</v>
      </c>
      <c r="U90" s="260">
        <f>HLOOKUP(U$1,'Asset Returns'!$F$1:$N$109,ROW(),0)*Portfolios!$G$11</f>
        <v>3.4502262443438791E-3</v>
      </c>
      <c r="V90" s="260">
        <f>HLOOKUP(V$1,'Asset Returns'!$F$1:$N$109,ROW(),0)*Portfolios!$G$12</f>
        <v>9.965665236051512E-3</v>
      </c>
      <c r="W90" s="260">
        <f>HLOOKUP(W$1,'Asset Returns'!$F$1:$N$109,ROW(),0)*Portfolios!$G$13</f>
        <v>-2.7637033625057539E-3</v>
      </c>
      <c r="X90" s="260">
        <f>HLOOKUP(X$1,'Asset Returns'!$F$1:$N$109,ROW(),0)*Portfolios!$G$14</f>
        <v>-7.69162981477922E-3</v>
      </c>
      <c r="Y90" s="138">
        <f>Portfolios!$R$34</f>
        <v>-0.68211369708646341</v>
      </c>
      <c r="Z90" s="138">
        <f>Portfolios!$P$11</f>
        <v>0.9378377404978776</v>
      </c>
      <c r="AA90" s="138">
        <f>Portfolios!$P$12</f>
        <v>0.64097224418739052</v>
      </c>
      <c r="AB90" s="138">
        <f>Portfolios!$P$13</f>
        <v>-2.1312105104673718</v>
      </c>
      <c r="AC90" s="138">
        <f>Portfolios!$P$14</f>
        <v>-0.78557102570241866</v>
      </c>
      <c r="AD90" s="138">
        <f>Portfolios!$P$15</f>
        <v>0.17519882647973573</v>
      </c>
      <c r="AE90" s="183">
        <f>INDEX(LINEST(N30:N90,'AC2'!$F30:$J90,1,1),1,1)</f>
        <v>-0.96779201621776245</v>
      </c>
      <c r="AF90" s="183">
        <f>INDEX(LINEST(O30:O90,'AC2'!$F30:$J90,1,1),1,1)</f>
        <v>0.81809496028827955</v>
      </c>
      <c r="AG90" s="183">
        <f>INDEX(LINEST(P30:P90,'AC2'!$F30:$J90,1,1),1,1)</f>
        <v>0.51827017581167478</v>
      </c>
      <c r="AH90" s="183">
        <f>INDEX(LINEST(Q30:Q90,'AC2'!$F30:$J90,1,1),1,1)</f>
        <v>-2.7275539519453047</v>
      </c>
      <c r="AI90" s="183">
        <f>INDEX(LINEST(R30:R90,'AC2'!$F30:$J90,1,1),1,1)</f>
        <v>-1.2130073935671986</v>
      </c>
      <c r="AJ90" s="183">
        <f>INDEX(LINEST(S30:S90,'AC2'!$F30:$J90,1,1),1,1)</f>
        <v>0.40369936912996485</v>
      </c>
      <c r="AL90" s="343">
        <f>AL89*(1+O90+'Risk Factors'!$J90)</f>
        <v>9.0149193473682887E-2</v>
      </c>
      <c r="AM90" s="343">
        <f>AM89*(1+P90+'Risk Factors'!$J90)</f>
        <v>0.23306215772634789</v>
      </c>
      <c r="AN90" s="343">
        <f>AN89*(1+Q90+'Risk Factors'!$J90)</f>
        <v>0.45337425673790271</v>
      </c>
      <c r="AO90" s="343">
        <f>AO89*(1+R90+'Risk Factors'!$J90)</f>
        <v>0.46017688160472037</v>
      </c>
      <c r="AP90" s="343">
        <f>AP89*(1+S90+'Risk Factors'!$J90)</f>
        <v>0.27886810887896613</v>
      </c>
      <c r="AR90" s="343">
        <f t="shared" si="21"/>
        <v>5.9479660523853506E-2</v>
      </c>
      <c r="AS90" s="343">
        <f t="shared" si="22"/>
        <v>0.15377240204114326</v>
      </c>
      <c r="AT90" s="343">
        <f t="shared" si="23"/>
        <v>0.29913242528228673</v>
      </c>
      <c r="AU90" s="343">
        <f t="shared" si="24"/>
        <v>0.30362073851237187</v>
      </c>
      <c r="AV90" s="343">
        <f t="shared" si="25"/>
        <v>0.18399477364034469</v>
      </c>
      <c r="AW90" s="418">
        <f t="shared" si="26"/>
        <v>1.5156305984216198</v>
      </c>
      <c r="AX90" s="343">
        <f t="shared" si="30"/>
        <v>8.5433639218082114E-3</v>
      </c>
      <c r="AZ90" s="421">
        <v>42886</v>
      </c>
      <c r="BA90" s="92">
        <f>HLOOKUP(BA$1,'AC4'!$F$1:$AC$109,ROW(),0)*'Management and Hedging'!$G$10</f>
        <v>-4.6143800000000004E-3</v>
      </c>
      <c r="BB90" s="92">
        <f>HLOOKUP(BB$1,'AC4'!$F$1:$AC$109,ROW(),0)*'Management and Hedging'!$G$11</f>
        <v>2.6095107296137367E-2</v>
      </c>
      <c r="BC90" s="92">
        <f>IF('Management and Hedging'!$G$13="yes",BA90+BB90,CQ90)</f>
        <v>2.1480727296137366E-2</v>
      </c>
      <c r="BD90" s="138">
        <f>IF(IF('Management and Hedging'!$J$10="no",BL90,BO90)=0,NA(),IF('Management and Hedging'!$J$10="no",BL90,BO90))</f>
        <v>3.4006299886253166</v>
      </c>
      <c r="BE90" s="138">
        <f>IF(IF('Management and Hedging'!$J$10="no",BM90,BP90)=0,NA(),IF('Management and Hedging'!$J$10="no",BM90,BP90))</f>
        <v>-2.7275539519453047</v>
      </c>
      <c r="BF90" s="138">
        <f>IF(IF('Management and Hedging'!$J$10="no",BN90,BQ90)=0,NA(),IF('Management and Hedging'!$J$10="no",BN90,BQ90))</f>
        <v>-1.5019171638311815</v>
      </c>
      <c r="BG90" s="92">
        <f>IF('Management and Hedging'!$G$13="yes",BH90+BI90,CQ90)</f>
        <v>2.2080727296137369E-2</v>
      </c>
      <c r="BH90" s="92">
        <f>HLOOKUP(BH$1,'Asset Returns'!$F$1:$ZY$109,ROW(),0)*'Management and Hedging'!$G$10</f>
        <v>-4.4943800000000001E-3</v>
      </c>
      <c r="BI90" s="92">
        <f>HLOOKUP(BI$1,'Asset Returns'!$F$1:$ZY$109,ROW(),0)*'Management and Hedging'!$G$11</f>
        <v>2.6575107296137369E-2</v>
      </c>
      <c r="BJ90" s="92">
        <f>HLOOKUP(BJ$1,'AC4'!$F$1:$AC$109,ROW(),0)</f>
        <v>-2.3071899999999999E-2</v>
      </c>
      <c r="BK90" s="92">
        <f>HLOOKUP(BK$1,'AC4'!$F$1:$AC$109,ROW(),0)</f>
        <v>3.2618884120171707E-2</v>
      </c>
      <c r="BL90" s="138">
        <f ca="1">'Management and Hedging'!$R$34</f>
        <v>2.5919346055080732</v>
      </c>
      <c r="BM90" s="138">
        <f ca="1">'Management and Hedging'!$R$36</f>
        <v>-2.1312105104673718</v>
      </c>
      <c r="BN90" s="138">
        <f>'Management and Hedging'!$R$38</f>
        <v>-1.1865814872722835</v>
      </c>
      <c r="BO90" s="138">
        <f>INDEX(LINEST(BJ30:BJ90,'AC2'!$F30:$J90,1,1),1,1)</f>
        <v>3.4006299886253166</v>
      </c>
      <c r="BP90" s="138">
        <f>INDEX(LINEST(BK30:BK90,'AC2'!$F30:$J90,1,1),1,1)</f>
        <v>-2.7275539519453047</v>
      </c>
      <c r="BQ90" s="138">
        <f>INDEX(LINEST(BC30:BC90,'AC2'!$F30:$J90,1,1),1,1)</f>
        <v>-1.5019171638311815</v>
      </c>
      <c r="BR90" s="138"/>
      <c r="BS90" s="138"/>
      <c r="BT90" s="138"/>
      <c r="BU90" s="138"/>
      <c r="BV90" s="138"/>
      <c r="BW90" s="138"/>
      <c r="BX90" s="138"/>
      <c r="BY90" s="138"/>
      <c r="BZ90" s="138"/>
      <c r="CA90" s="138"/>
      <c r="CB90" s="138"/>
      <c r="CC90" s="138"/>
      <c r="CD90" s="138"/>
      <c r="CE90" s="138"/>
      <c r="CF90" s="138"/>
      <c r="CG90" s="138"/>
      <c r="CH90" s="138"/>
      <c r="CI90" s="138"/>
      <c r="CJ90" s="138"/>
      <c r="CK90" s="343">
        <f>CK89*(1+BA90+'Risk Factors'!$J90)</f>
        <v>0.18746621709512096</v>
      </c>
      <c r="CL90" s="343">
        <f>CL89*(1+BB90+'Risk Factors'!$J90)</f>
        <v>1.2978341831250064</v>
      </c>
      <c r="CN90" s="343">
        <f t="shared" si="27"/>
        <v>0.12621434496842371</v>
      </c>
      <c r="CO90" s="343">
        <f t="shared" si="28"/>
        <v>0.87378565503157635</v>
      </c>
      <c r="CP90" s="418">
        <f t="shared" si="29"/>
        <v>1.4853004002201273</v>
      </c>
      <c r="CQ90" s="343">
        <f t="shared" si="31"/>
        <v>2.2715108988437205E-2</v>
      </c>
      <c r="CS90" s="92"/>
      <c r="CT90" s="260"/>
      <c r="CU90" s="260"/>
      <c r="CV90" s="260"/>
      <c r="CW90" s="260"/>
      <c r="CX90" s="260"/>
      <c r="CY90" s="260"/>
      <c r="CZ90" s="260"/>
      <c r="DB90" s="325"/>
      <c r="DC90" s="92"/>
      <c r="DD90" s="92"/>
      <c r="DE90" s="260"/>
      <c r="DF90" s="260"/>
      <c r="DG90" s="260"/>
      <c r="DH90" s="260"/>
      <c r="DI90" s="260"/>
    </row>
    <row r="91" spans="6:113">
      <c r="F91" s="421">
        <v>42916</v>
      </c>
      <c r="G91" s="92">
        <f>IF(Portfolios!$G$16="yes",SUM(T91:X91),AX91)</f>
        <v>-8.0437478320325665E-3</v>
      </c>
      <c r="H91" s="138">
        <f>IF(IF(Portfolios!$J$10="no",'AC3'!Y91,'AC3'!AE91)=0,NA(),IF(Portfolios!$J$10="no",Y91,AE91))</f>
        <v>-0.9539060663151091</v>
      </c>
      <c r="I91" s="138">
        <f>IF(Portfolios!$J$11="no",NA(),IF(IF(Portfolios!$J$10="no",'AC3'!Z91,'AC3'!AF91)=0,NA(),IF(Portfolios!$J$10="no",Z91,AF91)))</f>
        <v>0.82527151923884323</v>
      </c>
      <c r="J91" s="138">
        <f>IF(Portfolios!$J$11="no",NA(),IF(IF(Portfolios!$J$10="no",'AC3'!AA91,'AC3'!AG91)=0,NA(),IF(Portfolios!$J$10="no",AA91,AG91)))</f>
        <v>0.5311484230440332</v>
      </c>
      <c r="K91" s="138">
        <f>IF(Portfolios!$J$11="no",NA(),IF(IF(Portfolios!$J$10="no",'AC3'!AB91,'AC3'!AH91)=0,NA(),IF(Portfolios!$J$10="no",AB91,AH91)))</f>
        <v>-2.6817740315134193</v>
      </c>
      <c r="L91" s="138">
        <f>IF(Portfolios!$J$11="no",NA(),IF(IF(Portfolios!$J$10="no",'AC3'!AC91,'AC3'!AI91)=0,NA(),IF(Portfolios!$J$10="no",AC91,AI91)))</f>
        <v>-1.2140149400361786</v>
      </c>
      <c r="M91" s="138">
        <f>IF(Portfolios!$J$11="no",NA(),IF(IF(Portfolios!$J$10="no",'AC3'!AD91,'AC3'!AJ91)=0,NA(),IF(Portfolios!$J$10="no",AD91,AJ91)))</f>
        <v>0.39594315460741064</v>
      </c>
      <c r="N91" s="92">
        <f>G91-'Risk Factors'!J91</f>
        <v>-8.6437478320325663E-3</v>
      </c>
      <c r="O91" s="260">
        <f>HLOOKUP(O$1,'Asset Returns'!$F$1:$N$109,ROW(),0)-'Risk Factors'!$J91</f>
        <v>-4.5931352636101333E-2</v>
      </c>
      <c r="P91" s="260">
        <f>HLOOKUP(P$1,'Asset Returns'!$F$1:$N$109,ROW(),0)-'Risk Factors'!$J91</f>
        <v>-9.3820338983050713E-2</v>
      </c>
      <c r="Q91" s="260">
        <f>HLOOKUP(Q$1,'Asset Returns'!$F$1:$N$109,ROW(),0)-'Risk Factors'!$J91</f>
        <v>3.5843189055966215E-2</v>
      </c>
      <c r="R91" s="260">
        <f>HLOOKUP(R$1,'Asset Returns'!$F$1:$N$109,ROW(),0)-'Risk Factors'!$J91</f>
        <v>-2.2915202231520281E-2</v>
      </c>
      <c r="S91" s="260">
        <f>HLOOKUP(S$1,'Asset Returns'!$F$1:$N$109,ROW(),0)-'Risk Factors'!$J91</f>
        <v>7.2651264127442834E-3</v>
      </c>
      <c r="T91" s="260">
        <f>HLOOKUP(T$1,'Asset Returns'!$F$1:$N$109,ROW(),0)*Portfolios!$G$10</f>
        <v>-4.5331352636101335E-3</v>
      </c>
      <c r="U91" s="260">
        <f>HLOOKUP(U$1,'Asset Returns'!$F$1:$N$109,ROW(),0)*Portfolios!$G$11</f>
        <v>-9.3220338983050714E-3</v>
      </c>
      <c r="V91" s="260">
        <f>HLOOKUP(V$1,'Asset Returns'!$F$1:$N$109,ROW(),0)*Portfolios!$G$12</f>
        <v>1.0932956716789866E-2</v>
      </c>
      <c r="W91" s="260">
        <f>HLOOKUP(W$1,'Asset Returns'!$F$1:$N$109,ROW(),0)*Portfolios!$G$13</f>
        <v>-6.6945606694560839E-3</v>
      </c>
      <c r="X91" s="260">
        <f>HLOOKUP(X$1,'Asset Returns'!$F$1:$N$109,ROW(),0)*Portfolios!$G$14</f>
        <v>1.5730252825488563E-3</v>
      </c>
      <c r="Y91" s="138">
        <f>Portfolios!$R$34</f>
        <v>-0.68211369708646341</v>
      </c>
      <c r="Z91" s="138">
        <f>Portfolios!$P$11</f>
        <v>0.9378377404978776</v>
      </c>
      <c r="AA91" s="138">
        <f>Portfolios!$P$12</f>
        <v>0.64097224418739052</v>
      </c>
      <c r="AB91" s="138">
        <f>Portfolios!$P$13</f>
        <v>-2.1312105104673718</v>
      </c>
      <c r="AC91" s="138">
        <f>Portfolios!$P$14</f>
        <v>-0.78557102570241866</v>
      </c>
      <c r="AD91" s="138">
        <f>Portfolios!$P$15</f>
        <v>0.17519882647973573</v>
      </c>
      <c r="AE91" s="183">
        <f>INDEX(LINEST(N31:N91,'AC2'!$F31:$J91,1,1),1,1)</f>
        <v>-0.9539060663151091</v>
      </c>
      <c r="AF91" s="183">
        <f>INDEX(LINEST(O31:O91,'AC2'!$F31:$J91,1,1),1,1)</f>
        <v>0.82527151923884323</v>
      </c>
      <c r="AG91" s="183">
        <f>INDEX(LINEST(P31:P91,'AC2'!$F31:$J91,1,1),1,1)</f>
        <v>0.5311484230440332</v>
      </c>
      <c r="AH91" s="183">
        <f>INDEX(LINEST(Q31:Q91,'AC2'!$F31:$J91,1,1),1,1)</f>
        <v>-2.6817740315134193</v>
      </c>
      <c r="AI91" s="183">
        <f>INDEX(LINEST(R31:R91,'AC2'!$F31:$J91,1,1),1,1)</f>
        <v>-1.2140149400361786</v>
      </c>
      <c r="AJ91" s="183">
        <f>INDEX(LINEST(S31:S91,'AC2'!$F31:$J91,1,1),1,1)</f>
        <v>0.39594315460741064</v>
      </c>
      <c r="AL91" s="343">
        <f>AL90*(1+O91+'Risk Factors'!$J91)</f>
        <v>8.6062608594467238E-2</v>
      </c>
      <c r="AM91" s="343">
        <f>AM90*(1+P91+'Risk Factors'!$J91)</f>
        <v>0.2113360243789765</v>
      </c>
      <c r="AN91" s="343">
        <f>AN90*(1+Q91+'Risk Factors'!$J91)</f>
        <v>0.46989666048931028</v>
      </c>
      <c r="AO91" s="343">
        <f>AO90*(1+R91+'Risk Factors'!$J91)</f>
        <v>0.44990794142944068</v>
      </c>
      <c r="AP91" s="343">
        <f>AP90*(1+S91+'Risk Factors'!$J91)</f>
        <v>0.28106144180778214</v>
      </c>
      <c r="AR91" s="343">
        <f t="shared" si="21"/>
        <v>5.7441525474674883E-2</v>
      </c>
      <c r="AS91" s="343">
        <f t="shared" si="22"/>
        <v>0.14105386562570343</v>
      </c>
      <c r="AT91" s="343">
        <f t="shared" si="23"/>
        <v>0.31362727013246255</v>
      </c>
      <c r="AU91" s="343">
        <f t="shared" si="24"/>
        <v>0.30028602317475145</v>
      </c>
      <c r="AV91" s="343">
        <f t="shared" si="25"/>
        <v>0.18759131559240777</v>
      </c>
      <c r="AW91" s="418">
        <f t="shared" si="26"/>
        <v>1.4982646766999768</v>
      </c>
      <c r="AX91" s="343">
        <f t="shared" si="30"/>
        <v>-1.1457885410685154E-2</v>
      </c>
      <c r="AZ91" s="421">
        <v>42916</v>
      </c>
      <c r="BA91" s="92">
        <f>HLOOKUP(BA$1,'AC4'!$F$1:$AC$109,ROW(),0)*'Management and Hedging'!$G$10</f>
        <v>4.8061000000000006E-3</v>
      </c>
      <c r="BB91" s="92">
        <f>HLOOKUP(BB$1,'AC4'!$F$1:$AC$109,ROW(),0)*'Management and Hedging'!$G$11</f>
        <v>2.8674551244772972E-2</v>
      </c>
      <c r="BC91" s="92">
        <f>IF('Management and Hedging'!$G$13="yes",BA91+BB91,CQ91)</f>
        <v>3.3480651244772973E-2</v>
      </c>
      <c r="BD91" s="138">
        <f>IF(IF('Management and Hedging'!$J$10="no",BL91,BO91)=0,NA(),IF('Management and Hedging'!$J$10="no",BL91,BO91))</f>
        <v>3.4080816060303016</v>
      </c>
      <c r="BE91" s="138">
        <f>IF(IF('Management and Hedging'!$J$10="no",BM91,BP91)=0,NA(),IF('Management and Hedging'!$J$10="no",BM91,BP91))</f>
        <v>-2.6817740315134193</v>
      </c>
      <c r="BF91" s="138">
        <f>IF(IF('Management and Hedging'!$J$10="no",BN91,BQ91)=0,NA(),IF('Management and Hedging'!$J$10="no",BN91,BQ91))</f>
        <v>-1.4638029040046743</v>
      </c>
      <c r="BG91" s="92">
        <f>IF('Management and Hedging'!$G$13="yes",BH91+BI91,CQ91)</f>
        <v>3.4080651244772976E-2</v>
      </c>
      <c r="BH91" s="92">
        <f>HLOOKUP(BH$1,'Asset Returns'!$F$1:$ZY$109,ROW(),0)*'Management and Hedging'!$G$10</f>
        <v>4.9261000000000001E-3</v>
      </c>
      <c r="BI91" s="92">
        <f>HLOOKUP(BI$1,'Asset Returns'!$F$1:$ZY$109,ROW(),0)*'Management and Hedging'!$G$11</f>
        <v>2.9154551244772977E-2</v>
      </c>
      <c r="BJ91" s="92">
        <f>HLOOKUP(BJ$1,'AC4'!$F$1:$AC$109,ROW(),0)</f>
        <v>2.40305E-2</v>
      </c>
      <c r="BK91" s="92">
        <f>HLOOKUP(BK$1,'AC4'!$F$1:$AC$109,ROW(),0)</f>
        <v>3.5843189055966215E-2</v>
      </c>
      <c r="BL91" s="138">
        <f ca="1">'Management and Hedging'!$R$34</f>
        <v>2.5919346055080732</v>
      </c>
      <c r="BM91" s="138">
        <f ca="1">'Management and Hedging'!$R$36</f>
        <v>-2.1312105104673718</v>
      </c>
      <c r="BN91" s="138">
        <f>'Management and Hedging'!$R$38</f>
        <v>-1.1865814872722835</v>
      </c>
      <c r="BO91" s="138">
        <f>INDEX(LINEST(BJ31:BJ91,'AC2'!$F31:$J91,1,1),1,1)</f>
        <v>3.4080816060303016</v>
      </c>
      <c r="BP91" s="138">
        <f>INDEX(LINEST(BK31:BK91,'AC2'!$F31:$J91,1,1),1,1)</f>
        <v>-2.6817740315134193</v>
      </c>
      <c r="BQ91" s="138">
        <f>INDEX(LINEST(BC31:BC91,'AC2'!$F31:$J91,1,1),1,1)</f>
        <v>-1.4638029040046743</v>
      </c>
      <c r="BR91" s="138"/>
      <c r="BS91" s="138"/>
      <c r="BT91" s="138"/>
      <c r="BU91" s="138"/>
      <c r="BV91" s="138"/>
      <c r="BW91" s="138"/>
      <c r="BX91" s="138"/>
      <c r="BY91" s="138"/>
      <c r="BZ91" s="138"/>
      <c r="CA91" s="138"/>
      <c r="CB91" s="138"/>
      <c r="CC91" s="138"/>
      <c r="CD91" s="138"/>
      <c r="CE91" s="138"/>
      <c r="CF91" s="138"/>
      <c r="CG91" s="138"/>
      <c r="CH91" s="138"/>
      <c r="CI91" s="138"/>
      <c r="CJ91" s="138"/>
      <c r="CK91" s="343">
        <f>CK90*(1+BA91+'Risk Factors'!$J91)</f>
        <v>0.18847967821135886</v>
      </c>
      <c r="CL91" s="343">
        <f>CL90*(1+BB91+'Risk Factors'!$J91)</f>
        <v>1.3358276964261175</v>
      </c>
      <c r="CN91" s="343">
        <f t="shared" si="27"/>
        <v>0.12364939076423787</v>
      </c>
      <c r="CO91" s="343">
        <f t="shared" si="28"/>
        <v>0.87635060923576213</v>
      </c>
      <c r="CP91" s="418">
        <f t="shared" si="29"/>
        <v>1.5243073746374765</v>
      </c>
      <c r="CQ91" s="343">
        <f t="shared" si="31"/>
        <v>2.6262010305503347E-2</v>
      </c>
      <c r="CS91" s="92"/>
      <c r="CT91" s="260"/>
      <c r="CU91" s="260"/>
      <c r="CV91" s="260"/>
      <c r="CW91" s="260"/>
      <c r="CX91" s="260"/>
      <c r="CY91" s="260"/>
      <c r="CZ91" s="260"/>
      <c r="DB91" s="325"/>
      <c r="DC91" s="92"/>
      <c r="DD91" s="92"/>
      <c r="DE91" s="260"/>
      <c r="DF91" s="260"/>
      <c r="DG91" s="260"/>
      <c r="DH91" s="260"/>
      <c r="DI91" s="260"/>
    </row>
    <row r="92" spans="6:113">
      <c r="F92" s="421">
        <v>42947</v>
      </c>
      <c r="G92" s="92">
        <f>IF(Portfolios!$G$16="yes",SUM(T92:X92),AX92)</f>
        <v>3.3341695099933018E-2</v>
      </c>
      <c r="H92" s="138">
        <f>IF(IF(Portfolios!$J$10="no",'AC3'!Y92,'AC3'!AE92)=0,NA(),IF(Portfolios!$J$10="no",Y92,AE92))</f>
        <v>-0.96371275582196969</v>
      </c>
      <c r="I92" s="138">
        <f>IF(Portfolios!$J$11="no",NA(),IF(IF(Portfolios!$J$10="no",'AC3'!Z92,'AC3'!AF92)=0,NA(),IF(Portfolios!$J$10="no",Z92,AF92)))</f>
        <v>0.82052588333772514</v>
      </c>
      <c r="J92" s="138">
        <f>IF(Portfolios!$J$11="no",NA(),IF(IF(Portfolios!$J$10="no",'AC3'!AA92,'AC3'!AG92)=0,NA(),IF(Portfolios!$J$10="no",AA92,AG92)))</f>
        <v>0.51678897864875328</v>
      </c>
      <c r="K92" s="138">
        <f>IF(Portfolios!$J$11="no",NA(),IF(IF(Portfolios!$J$10="no",'AC3'!AB92,'AC3'!AH92)=0,NA(),IF(Portfolios!$J$10="no",AB92,AH92)))</f>
        <v>-2.7061336654036152</v>
      </c>
      <c r="L92" s="138">
        <f>IF(Portfolios!$J$11="no",NA(),IF(IF(Portfolios!$J$10="no",'AC3'!AC92,'AC3'!AI92)=0,NA(),IF(Portfolios!$J$10="no",AC92,AI92)))</f>
        <v>-1.1950976460558522</v>
      </c>
      <c r="M92" s="138">
        <f>IF(Portfolios!$J$11="no",NA(),IF(IF(Portfolios!$J$10="no",'AC3'!AD92,'AC3'!AJ92)=0,NA(),IF(Portfolios!$J$10="no",AD92,AJ92)))</f>
        <v>0.36462575708611411</v>
      </c>
      <c r="N92" s="92">
        <f>G92-'Risk Factors'!J92</f>
        <v>3.2641695099933019E-2</v>
      </c>
      <c r="O92" s="260">
        <f>HLOOKUP(O$1,'Asset Returns'!$F$1:$N$109,ROW(),0)-'Risk Factors'!$J92</f>
        <v>2.1111944627744718E-2</v>
      </c>
      <c r="P92" s="260">
        <f>HLOOKUP(P$1,'Asset Returns'!$F$1:$N$109,ROW(),0)-'Risk Factors'!$J92</f>
        <v>3.5025052758516674E-2</v>
      </c>
      <c r="Q92" s="260">
        <f>HLOOKUP(Q$1,'Asset Returns'!$F$1:$N$109,ROW(),0)-'Risk Factors'!$J92</f>
        <v>5.5115320490555154E-2</v>
      </c>
      <c r="R92" s="260">
        <f>HLOOKUP(R$1,'Asset Returns'!$F$1:$N$109,ROW(),0)-'Risk Factors'!$J92</f>
        <v>7.5144032334759775E-2</v>
      </c>
      <c r="S92" s="260">
        <f>HLOOKUP(S$1,'Asset Returns'!$F$1:$N$109,ROW(),0)-'Risk Factors'!$J92</f>
        <v>-6.0249052431438042E-2</v>
      </c>
      <c r="T92" s="260">
        <f>HLOOKUP(T$1,'Asset Returns'!$F$1:$N$109,ROW(),0)*Portfolios!$G$10</f>
        <v>2.181194462774472E-3</v>
      </c>
      <c r="U92" s="260">
        <f>HLOOKUP(U$1,'Asset Returns'!$F$1:$N$109,ROW(),0)*Portfolios!$G$11</f>
        <v>3.5725052758516676E-3</v>
      </c>
      <c r="V92" s="260">
        <f>HLOOKUP(V$1,'Asset Returns'!$F$1:$N$109,ROW(),0)*Portfolios!$G$12</f>
        <v>1.6744596147166547E-2</v>
      </c>
      <c r="W92" s="260">
        <f>HLOOKUP(W$1,'Asset Returns'!$F$1:$N$109,ROW(),0)*Portfolios!$G$13</f>
        <v>2.2753209700427934E-2</v>
      </c>
      <c r="X92" s="260">
        <f>HLOOKUP(X$1,'Asset Returns'!$F$1:$N$109,ROW(),0)*Portfolios!$G$14</f>
        <v>-1.1909810486287606E-2</v>
      </c>
      <c r="Y92" s="138">
        <f>Portfolios!$R$34</f>
        <v>-0.68211369708646341</v>
      </c>
      <c r="Z92" s="138">
        <f>Portfolios!$P$11</f>
        <v>0.9378377404978776</v>
      </c>
      <c r="AA92" s="138">
        <f>Portfolios!$P$12</f>
        <v>0.64097224418739052</v>
      </c>
      <c r="AB92" s="138">
        <f>Portfolios!$P$13</f>
        <v>-2.1312105104673718</v>
      </c>
      <c r="AC92" s="138">
        <f>Portfolios!$P$14</f>
        <v>-0.78557102570241866</v>
      </c>
      <c r="AD92" s="138">
        <f>Portfolios!$P$15</f>
        <v>0.17519882647973573</v>
      </c>
      <c r="AE92" s="183">
        <f>INDEX(LINEST(N32:N92,'AC2'!$F32:$J92,1,1),1,1)</f>
        <v>-0.96371275582196969</v>
      </c>
      <c r="AF92" s="183">
        <f>INDEX(LINEST(O32:O92,'AC2'!$F32:$J92,1,1),1,1)</f>
        <v>0.82052588333772514</v>
      </c>
      <c r="AG92" s="183">
        <f>INDEX(LINEST(P32:P92,'AC2'!$F32:$J92,1,1),1,1)</f>
        <v>0.51678897864875328</v>
      </c>
      <c r="AH92" s="183">
        <f>INDEX(LINEST(Q32:Q92,'AC2'!$F32:$J92,1,1),1,1)</f>
        <v>-2.7061336654036152</v>
      </c>
      <c r="AI92" s="183">
        <f>INDEX(LINEST(R32:R92,'AC2'!$F32:$J92,1,1),1,1)</f>
        <v>-1.1950976460558522</v>
      </c>
      <c r="AJ92" s="183">
        <f>INDEX(LINEST(S32:S92,'AC2'!$F32:$J92,1,1),1,1)</f>
        <v>0.36462575708611411</v>
      </c>
      <c r="AL92" s="343">
        <f>AL91*(1+O92+'Risk Factors'!$J92)</f>
        <v>8.7939801447649027E-2</v>
      </c>
      <c r="AM92" s="343">
        <f>AM91*(1+P92+'Risk Factors'!$J92)</f>
        <v>0.2188860149996906</v>
      </c>
      <c r="AN92" s="343">
        <f>AN91*(1+Q92+'Risk Factors'!$J92)</f>
        <v>0.49612409319196271</v>
      </c>
      <c r="AO92" s="343">
        <f>AO91*(1+R92+'Risk Factors'!$J92)</f>
        <v>0.48403077388688037</v>
      </c>
      <c r="AP92" s="343">
        <f>AP91*(1+S92+'Risk Factors'!$J92)</f>
        <v>0.26432449927311497</v>
      </c>
      <c r="AR92" s="343">
        <f t="shared" si="21"/>
        <v>5.6687621766958518E-2</v>
      </c>
      <c r="AS92" s="343">
        <f t="shared" si="22"/>
        <v>0.14109797184117917</v>
      </c>
      <c r="AT92" s="343">
        <f t="shared" si="23"/>
        <v>0.31981076237798495</v>
      </c>
      <c r="AU92" s="343">
        <f t="shared" si="24"/>
        <v>0.31201518518326421</v>
      </c>
      <c r="AV92" s="343">
        <f t="shared" si="25"/>
        <v>0.17038845883061318</v>
      </c>
      <c r="AW92" s="418">
        <f t="shared" si="26"/>
        <v>1.5513051827992976</v>
      </c>
      <c r="AX92" s="343">
        <f t="shared" si="30"/>
        <v>3.540129252472668E-2</v>
      </c>
      <c r="AZ92" s="421">
        <v>42947</v>
      </c>
      <c r="BA92" s="92">
        <f>HLOOKUP(BA$1,'AC4'!$F$1:$AC$109,ROW(),0)*'Management and Hedging'!$G$10</f>
        <v>8.5138399999999999E-3</v>
      </c>
      <c r="BB92" s="92">
        <f>HLOOKUP(BB$1,'AC4'!$F$1:$AC$109,ROW(),0)*'Management and Hedging'!$G$11</f>
        <v>4.4092256392444129E-2</v>
      </c>
      <c r="BC92" s="92">
        <f>IF('Management and Hedging'!$G$13="yes",BA92+BB92,CQ92)</f>
        <v>5.2606096392444131E-2</v>
      </c>
      <c r="BD92" s="138">
        <f>IF(IF('Management and Hedging'!$J$10="no",BL92,BO92)=0,NA(),IF('Management and Hedging'!$J$10="no",BL92,BO92))</f>
        <v>3.4198932379604705</v>
      </c>
      <c r="BE92" s="138">
        <f>IF(IF('Management and Hedging'!$J$10="no",BM92,BP92)=0,NA(),IF('Management and Hedging'!$J$10="no",BM92,BP92))</f>
        <v>-2.7061336654036152</v>
      </c>
      <c r="BF92" s="138">
        <f>IF(IF('Management and Hedging'!$J$10="no",BN92,BQ92)=0,NA(),IF('Management and Hedging'!$J$10="no",BN92,BQ92))</f>
        <v>-1.4809282847307987</v>
      </c>
      <c r="BG92" s="92">
        <f>IF('Management and Hedging'!$G$13="yes",BH92+BI92,CQ92)</f>
        <v>5.330609639244413E-2</v>
      </c>
      <c r="BH92" s="92">
        <f>HLOOKUP(BH$1,'Asset Returns'!$F$1:$ZY$109,ROW(),0)*'Management and Hedging'!$G$10</f>
        <v>8.6538400000000012E-3</v>
      </c>
      <c r="BI92" s="92">
        <f>HLOOKUP(BI$1,'Asset Returns'!$F$1:$ZY$109,ROW(),0)*'Management and Hedging'!$G$11</f>
        <v>4.4652256392444127E-2</v>
      </c>
      <c r="BJ92" s="92">
        <f>HLOOKUP(BJ$1,'AC4'!$F$1:$AC$109,ROW(),0)</f>
        <v>4.2569200000000001E-2</v>
      </c>
      <c r="BK92" s="92">
        <f>HLOOKUP(BK$1,'AC4'!$F$1:$AC$109,ROW(),0)</f>
        <v>5.5115320490555154E-2</v>
      </c>
      <c r="BL92" s="138">
        <f ca="1">'Management and Hedging'!$R$34</f>
        <v>2.5919346055080732</v>
      </c>
      <c r="BM92" s="138">
        <f ca="1">'Management and Hedging'!$R$36</f>
        <v>-2.1312105104673718</v>
      </c>
      <c r="BN92" s="138">
        <f>'Management and Hedging'!$R$38</f>
        <v>-1.1865814872722835</v>
      </c>
      <c r="BO92" s="138">
        <f>INDEX(LINEST(BJ32:BJ92,'AC2'!$F32:$J92,1,1),1,1)</f>
        <v>3.4198932379604705</v>
      </c>
      <c r="BP92" s="138">
        <f>INDEX(LINEST(BK32:BK92,'AC2'!$F32:$J92,1,1),1,1)</f>
        <v>-2.7061336654036152</v>
      </c>
      <c r="BQ92" s="138">
        <f>INDEX(LINEST(BC32:BC92,'AC2'!$F32:$J92,1,1),1,1)</f>
        <v>-1.4809282847307987</v>
      </c>
      <c r="BR92" s="138"/>
      <c r="BS92" s="138"/>
      <c r="BT92" s="138"/>
      <c r="BU92" s="138"/>
      <c r="BV92" s="138"/>
      <c r="BW92" s="138"/>
      <c r="BX92" s="138"/>
      <c r="BY92" s="138"/>
      <c r="BZ92" s="138"/>
      <c r="CA92" s="138"/>
      <c r="CB92" s="138"/>
      <c r="CC92" s="138"/>
      <c r="CD92" s="138"/>
      <c r="CE92" s="138"/>
      <c r="CF92" s="138"/>
      <c r="CG92" s="138"/>
      <c r="CH92" s="138"/>
      <c r="CI92" s="138"/>
      <c r="CJ92" s="138"/>
      <c r="CK92" s="343">
        <f>CK91*(1+BA92+'Risk Factors'!$J92)</f>
        <v>0.1902162998096498</v>
      </c>
      <c r="CL92" s="343">
        <f>CL91*(1+BB92+'Risk Factors'!$J92)</f>
        <v>1.3956624331005643</v>
      </c>
      <c r="CN92" s="343">
        <f t="shared" si="27"/>
        <v>0.11994378628218799</v>
      </c>
      <c r="CO92" s="343">
        <f t="shared" si="28"/>
        <v>0.88005621371781206</v>
      </c>
      <c r="CP92" s="418">
        <f t="shared" si="29"/>
        <v>1.585878732910214</v>
      </c>
      <c r="CQ92" s="343">
        <f t="shared" si="31"/>
        <v>4.0393006881161986E-2</v>
      </c>
      <c r="CS92" s="92"/>
      <c r="CT92" s="260"/>
      <c r="CU92" s="260"/>
      <c r="CV92" s="260"/>
      <c r="CW92" s="260"/>
      <c r="CX92" s="260"/>
      <c r="CY92" s="260"/>
      <c r="CZ92" s="260"/>
      <c r="DB92" s="325"/>
      <c r="DC92" s="92"/>
      <c r="DD92" s="92"/>
      <c r="DE92" s="260"/>
      <c r="DF92" s="260"/>
      <c r="DG92" s="260"/>
      <c r="DH92" s="260"/>
      <c r="DI92" s="260"/>
    </row>
    <row r="93" spans="6:113">
      <c r="F93" s="421">
        <v>42978</v>
      </c>
      <c r="G93" s="92">
        <f>IF(Portfolios!$G$16="yes",SUM(T93:X93),AX93)</f>
        <v>-3.6908678767541378E-2</v>
      </c>
      <c r="H93" s="138">
        <f>IF(IF(Portfolios!$J$10="no",'AC3'!Y93,'AC3'!AE93)=0,NA(),IF(Portfolios!$J$10="no",Y93,AE93))</f>
        <v>-0.90056531729973632</v>
      </c>
      <c r="I93" s="138">
        <f>IF(Portfolios!$J$11="no",NA(),IF(IF(Portfolios!$J$10="no",'AC3'!Z93,'AC3'!AF93)=0,NA(),IF(Portfolios!$J$10="no",Z93,AF93)))</f>
        <v>0.89253144147692809</v>
      </c>
      <c r="J93" s="138">
        <f>IF(Portfolios!$J$11="no",NA(),IF(IF(Portfolios!$J$10="no",'AC3'!AA93,'AC3'!AG93)=0,NA(),IF(Portfolios!$J$10="no",AA93,AG93)))</f>
        <v>0.5700041263507446</v>
      </c>
      <c r="K93" s="138">
        <f>IF(Portfolios!$J$11="no",NA(),IF(IF(Portfolios!$J$10="no",'AC3'!AB93,'AC3'!AH93)=0,NA(),IF(Portfolios!$J$10="no",AB93,AH93)))</f>
        <v>-2.5653370769674222</v>
      </c>
      <c r="L93" s="138">
        <f>IF(Portfolios!$J$11="no",NA(),IF(IF(Portfolios!$J$10="no",'AC3'!AC93,'AC3'!AI93)=0,NA(),IF(Portfolios!$J$10="no",AC93,AI93)))</f>
        <v>-1.1613011946759935</v>
      </c>
      <c r="M93" s="138">
        <f>IF(Portfolios!$J$11="no",NA(),IF(IF(Portfolios!$J$10="no",'AC3'!AD93,'AC3'!AJ93)=0,NA(),IF(Portfolios!$J$10="no",AD93,AJ93)))</f>
        <v>0.35586303705260774</v>
      </c>
      <c r="N93" s="92">
        <f>G93-'Risk Factors'!J93</f>
        <v>-3.7808678767541376E-2</v>
      </c>
      <c r="O93" s="260">
        <f>HLOOKUP(O$1,'Asset Returns'!$F$1:$N$109,ROW(),0)-'Risk Factors'!$J93</f>
        <v>-8.6802185151403245E-3</v>
      </c>
      <c r="P93" s="260">
        <f>HLOOKUP(P$1,'Asset Returns'!$F$1:$N$109,ROW(),0)-'Risk Factors'!$J93</f>
        <v>-0.15095093872798715</v>
      </c>
      <c r="Q93" s="260">
        <f>HLOOKUP(Q$1,'Asset Returns'!$F$1:$N$109,ROW(),0)-'Risk Factors'!$J93</f>
        <v>-6.6518989776293211E-2</v>
      </c>
      <c r="R93" s="260">
        <f>HLOOKUP(R$1,'Asset Returns'!$F$1:$N$109,ROW(),0)-'Risk Factors'!$J93</f>
        <v>-5.0988950276242718E-3</v>
      </c>
      <c r="S93" s="260">
        <f>HLOOKUP(S$1,'Asset Returns'!$F$1:$N$109,ROW(),0)-'Risk Factors'!$J93</f>
        <v>-1.8009880102669454E-3</v>
      </c>
      <c r="T93" s="260">
        <f>HLOOKUP(T$1,'Asset Returns'!$F$1:$N$109,ROW(),0)*Portfolios!$G$10</f>
        <v>-7.7802185151403251E-4</v>
      </c>
      <c r="U93" s="260">
        <f>HLOOKUP(U$1,'Asset Returns'!$F$1:$N$109,ROW(),0)*Portfolios!$G$11</f>
        <v>-1.5005093872798714E-2</v>
      </c>
      <c r="V93" s="260">
        <f>HLOOKUP(V$1,'Asset Returns'!$F$1:$N$109,ROW(),0)*Portfolios!$G$12</f>
        <v>-1.9685696932887964E-2</v>
      </c>
      <c r="W93" s="260">
        <f>HLOOKUP(W$1,'Asset Returns'!$F$1:$N$109,ROW(),0)*Portfolios!$G$13</f>
        <v>-1.2596685082872817E-3</v>
      </c>
      <c r="X93" s="260">
        <f>HLOOKUP(X$1,'Asset Returns'!$F$1:$N$109,ROW(),0)*Portfolios!$G$14</f>
        <v>-1.8019760205338905E-4</v>
      </c>
      <c r="Y93" s="138">
        <f>Portfolios!$R$34</f>
        <v>-0.68211369708646341</v>
      </c>
      <c r="Z93" s="138">
        <f>Portfolios!$P$11</f>
        <v>0.9378377404978776</v>
      </c>
      <c r="AA93" s="138">
        <f>Portfolios!$P$12</f>
        <v>0.64097224418739052</v>
      </c>
      <c r="AB93" s="138">
        <f>Portfolios!$P$13</f>
        <v>-2.1312105104673718</v>
      </c>
      <c r="AC93" s="138">
        <f>Portfolios!$P$14</f>
        <v>-0.78557102570241866</v>
      </c>
      <c r="AD93" s="138">
        <f>Portfolios!$P$15</f>
        <v>0.17519882647973573</v>
      </c>
      <c r="AE93" s="183">
        <f>INDEX(LINEST(N33:N93,'AC2'!$F33:$J93,1,1),1,1)</f>
        <v>-0.90056531729973632</v>
      </c>
      <c r="AF93" s="183">
        <f>INDEX(LINEST(O33:O93,'AC2'!$F33:$J93,1,1),1,1)</f>
        <v>0.89253144147692809</v>
      </c>
      <c r="AG93" s="183">
        <f>INDEX(LINEST(P33:P93,'AC2'!$F33:$J93,1,1),1,1)</f>
        <v>0.5700041263507446</v>
      </c>
      <c r="AH93" s="183">
        <f>INDEX(LINEST(Q33:Q93,'AC2'!$F33:$J93,1,1),1,1)</f>
        <v>-2.5653370769674222</v>
      </c>
      <c r="AI93" s="183">
        <f>INDEX(LINEST(R33:R93,'AC2'!$F33:$J93,1,1),1,1)</f>
        <v>-1.1613011946759935</v>
      </c>
      <c r="AJ93" s="183">
        <f>INDEX(LINEST(S33:S93,'AC2'!$F33:$J93,1,1),1,1)</f>
        <v>0.35586303705260774</v>
      </c>
      <c r="AL93" s="343">
        <f>AL92*(1+O93+'Risk Factors'!$J93)</f>
        <v>8.7255610576208259E-2</v>
      </c>
      <c r="AM93" s="343">
        <f>AM92*(1+P93+'Risk Factors'!$J93)</f>
        <v>0.18604196297455874</v>
      </c>
      <c r="AN93" s="343">
        <f>AN92*(1+Q93+'Risk Factors'!$J93)</f>
        <v>0.46356893139302657</v>
      </c>
      <c r="AO93" s="343">
        <f>AO92*(1+R93+'Risk Factors'!$J93)</f>
        <v>0.4819983794771896</v>
      </c>
      <c r="AP93" s="343">
        <f>AP92*(1+S93+'Risk Factors'!$J93)</f>
        <v>0.26408634606845005</v>
      </c>
      <c r="AR93" s="343">
        <f t="shared" si="21"/>
        <v>5.8839163947023675E-2</v>
      </c>
      <c r="AS93" s="343">
        <f t="shared" si="22"/>
        <v>0.125453864664961</v>
      </c>
      <c r="AT93" s="343">
        <f t="shared" si="23"/>
        <v>0.31259890538681456</v>
      </c>
      <c r="AU93" s="343">
        <f t="shared" si="24"/>
        <v>0.32502645371426736</v>
      </c>
      <c r="AV93" s="343">
        <f t="shared" si="25"/>
        <v>0.17808161228693339</v>
      </c>
      <c r="AW93" s="418">
        <f t="shared" si="26"/>
        <v>1.4829512304894332</v>
      </c>
      <c r="AX93" s="343">
        <f t="shared" si="30"/>
        <v>-4.4062221326767625E-2</v>
      </c>
      <c r="AZ93" s="421">
        <v>42978</v>
      </c>
      <c r="BA93" s="92">
        <f>HLOOKUP(BA$1,'AC4'!$F$1:$AC$109,ROW(),0)*'Management and Hedging'!$G$10</f>
        <v>5.34996E-3</v>
      </c>
      <c r="BB93" s="92">
        <f>HLOOKUP(BB$1,'AC4'!$F$1:$AC$109,ROW(),0)*'Management and Hedging'!$G$11</f>
        <v>-5.3215191821034569E-2</v>
      </c>
      <c r="BC93" s="92">
        <f>IF('Management and Hedging'!$G$13="yes",BA93+BB93,CQ93)</f>
        <v>-4.7865231821034568E-2</v>
      </c>
      <c r="BD93" s="138">
        <f>IF(IF('Management and Hedging'!$J$10="no",BL93,BO93)=0,NA(),IF('Management and Hedging'!$J$10="no",BL93,BO93))</f>
        <v>3.5869301726063889</v>
      </c>
      <c r="BE93" s="138">
        <f>IF(IF('Management and Hedging'!$J$10="no",BM93,BP93)=0,NA(),IF('Management and Hedging'!$J$10="no",BM93,BP93))</f>
        <v>-2.5653370769674222</v>
      </c>
      <c r="BF93" s="138">
        <f>IF(IF('Management and Hedging'!$J$10="no",BN93,BQ93)=0,NA(),IF('Management and Hedging'!$J$10="no",BN93,BQ93))</f>
        <v>-1.3348836270526607</v>
      </c>
      <c r="BG93" s="92">
        <f>IF('Management and Hedging'!$G$13="yes",BH93+BI93,CQ93)</f>
        <v>-4.696523182103457E-2</v>
      </c>
      <c r="BH93" s="92">
        <f>HLOOKUP(BH$1,'Asset Returns'!$F$1:$ZY$109,ROW(),0)*'Management and Hedging'!$G$10</f>
        <v>5.5299600000000004E-3</v>
      </c>
      <c r="BI93" s="92">
        <f>HLOOKUP(BI$1,'Asset Returns'!$F$1:$ZY$109,ROW(),0)*'Management and Hedging'!$G$11</f>
        <v>-5.249519182103457E-2</v>
      </c>
      <c r="BJ93" s="92">
        <f>HLOOKUP(BJ$1,'AC4'!$F$1:$AC$109,ROW(),0)</f>
        <v>2.6749799999999997E-2</v>
      </c>
      <c r="BK93" s="92">
        <f>HLOOKUP(BK$1,'AC4'!$F$1:$AC$109,ROW(),0)</f>
        <v>-6.6518989776293211E-2</v>
      </c>
      <c r="BL93" s="138">
        <f ca="1">'Management and Hedging'!$R$34</f>
        <v>2.5919346055080732</v>
      </c>
      <c r="BM93" s="138">
        <f ca="1">'Management and Hedging'!$R$36</f>
        <v>-2.1312105104673718</v>
      </c>
      <c r="BN93" s="138">
        <f>'Management and Hedging'!$R$38</f>
        <v>-1.1865814872722835</v>
      </c>
      <c r="BO93" s="138">
        <f>INDEX(LINEST(BJ33:BJ93,'AC2'!$F33:$J93,1,1),1,1)</f>
        <v>3.5869301726063889</v>
      </c>
      <c r="BP93" s="138">
        <f>INDEX(LINEST(BK33:BK93,'AC2'!$F33:$J93,1,1),1,1)</f>
        <v>-2.5653370769674222</v>
      </c>
      <c r="BQ93" s="138">
        <f>INDEX(LINEST(BC33:BC93,'AC2'!$F33:$J93,1,1),1,1)</f>
        <v>-1.3348836270526607</v>
      </c>
      <c r="BR93" s="138"/>
      <c r="BS93" s="138"/>
      <c r="BT93" s="138"/>
      <c r="BU93" s="138"/>
      <c r="BV93" s="138"/>
      <c r="BW93" s="138"/>
      <c r="BX93" s="138"/>
      <c r="BY93" s="138"/>
      <c r="BZ93" s="138"/>
      <c r="CA93" s="138"/>
      <c r="CB93" s="138"/>
      <c r="CC93" s="138"/>
      <c r="CD93" s="138"/>
      <c r="CE93" s="138"/>
      <c r="CF93" s="138"/>
      <c r="CG93" s="138"/>
      <c r="CH93" s="138"/>
      <c r="CI93" s="138"/>
      <c r="CJ93" s="138"/>
      <c r="CK93" s="343">
        <f>CK92*(1+BA93+'Risk Factors'!$J93)</f>
        <v>0.1914051440748081</v>
      </c>
      <c r="CL93" s="343">
        <f>CL92*(1+BB93+'Risk Factors'!$J93)</f>
        <v>1.3226480851954963</v>
      </c>
      <c r="CN93" s="343">
        <f t="shared" si="27"/>
        <v>0.12641903228663601</v>
      </c>
      <c r="CO93" s="343">
        <f t="shared" si="28"/>
        <v>0.87358096771336402</v>
      </c>
      <c r="CP93" s="418">
        <f t="shared" si="29"/>
        <v>1.5140532292703044</v>
      </c>
      <c r="CQ93" s="343">
        <f t="shared" si="31"/>
        <v>-4.5290665767428573E-2</v>
      </c>
      <c r="CS93" s="92"/>
      <c r="CT93" s="260"/>
      <c r="CU93" s="260"/>
      <c r="CV93" s="260"/>
      <c r="CW93" s="260"/>
      <c r="CX93" s="260"/>
      <c r="CY93" s="260"/>
      <c r="CZ93" s="260"/>
      <c r="DB93" s="325"/>
      <c r="DC93" s="92"/>
      <c r="DD93" s="92"/>
      <c r="DE93" s="260"/>
      <c r="DF93" s="260"/>
      <c r="DG93" s="260"/>
      <c r="DH93" s="260"/>
      <c r="DI93" s="260"/>
    </row>
    <row r="94" spans="6:113">
      <c r="F94" s="421">
        <v>43008</v>
      </c>
      <c r="G94" s="92">
        <f>IF(Portfolios!$G$16="yes",SUM(T94:X94),AX94)</f>
        <v>3.794458195758986E-2</v>
      </c>
      <c r="H94" s="138">
        <f>IF(IF(Portfolios!$J$10="no",'AC3'!Y94,'AC3'!AE94)=0,NA(),IF(Portfolios!$J$10="no",Y94,AE94))</f>
        <v>-0.77147187121731053</v>
      </c>
      <c r="I94" s="138">
        <f>IF(Portfolios!$J$11="no",NA(),IF(IF(Portfolios!$J$10="no",'AC3'!Z94,'AC3'!AF94)=0,NA(),IF(Portfolios!$J$10="no",Z94,AF94)))</f>
        <v>0.8980605774680247</v>
      </c>
      <c r="J94" s="138">
        <f>IF(Portfolios!$J$11="no",NA(),IF(IF(Portfolios!$J$10="no",'AC3'!AA94,'AC3'!AG94)=0,NA(),IF(Portfolios!$J$10="no",AA94,AG94)))</f>
        <v>0.56018780880694208</v>
      </c>
      <c r="K94" s="138">
        <f>IF(Portfolios!$J$11="no",NA(),IF(IF(Portfolios!$J$10="no",'AC3'!AB94,'AC3'!AH94)=0,NA(),IF(Portfolios!$J$10="no",AB94,AH94)))</f>
        <v>-2.0770418243873783</v>
      </c>
      <c r="L94" s="138">
        <f>IF(Portfolios!$J$11="no",NA(),IF(IF(Portfolios!$J$10="no",'AC3'!AC94,'AC3'!AI94)=0,NA(),IF(Portfolios!$J$10="no",AC94,AI94)))</f>
        <v>-1.2077843701743995</v>
      </c>
      <c r="M94" s="138">
        <f>IF(Portfolios!$J$11="no",NA(),IF(IF(Portfolios!$J$10="no",'AC3'!AD94,'AC3'!AJ94)=0,NA(),IF(Portfolios!$J$10="no",AD94,AJ94)))</f>
        <v>0.34075574261863129</v>
      </c>
      <c r="N94" s="92">
        <f>G94-'Risk Factors'!J94</f>
        <v>3.7044581957589862E-2</v>
      </c>
      <c r="O94" s="260">
        <f>HLOOKUP(O$1,'Asset Returns'!$F$1:$N$109,ROW(),0)-'Risk Factors'!$J94</f>
        <v>0.1155078729537088</v>
      </c>
      <c r="P94" s="260">
        <f>HLOOKUP(P$1,'Asset Returns'!$F$1:$N$109,ROW(),0)-'Risk Factors'!$J94</f>
        <v>4.2593150684931427E-2</v>
      </c>
      <c r="Q94" s="260">
        <f>HLOOKUP(Q$1,'Asset Returns'!$F$1:$N$109,ROW(),0)-'Risk Factors'!$J94</f>
        <v>-1.4062527421932135E-2</v>
      </c>
      <c r="R94" s="260">
        <f>HLOOKUP(R$1,'Asset Returns'!$F$1:$N$109,ROW(),0)-'Risk Factors'!$J94</f>
        <v>7.5886506879716001E-2</v>
      </c>
      <c r="S94" s="260">
        <f>HLOOKUP(S$1,'Asset Returns'!$F$1:$N$109,ROW(),0)-'Risk Factors'!$J94</f>
        <v>1.3436428781953403E-2</v>
      </c>
      <c r="T94" s="260">
        <f>HLOOKUP(T$1,'Asset Returns'!$F$1:$N$109,ROW(),0)*Portfolios!$G$10</f>
        <v>1.164078729537088E-2</v>
      </c>
      <c r="U94" s="260">
        <f>HLOOKUP(U$1,'Asset Returns'!$F$1:$N$109,ROW(),0)*Portfolios!$G$11</f>
        <v>4.3493150684931429E-3</v>
      </c>
      <c r="V94" s="260">
        <f>HLOOKUP(V$1,'Asset Returns'!$F$1:$N$109,ROW(),0)*Portfolios!$G$12</f>
        <v>-3.9487582265796406E-3</v>
      </c>
      <c r="W94" s="260">
        <f>HLOOKUP(W$1,'Asset Returns'!$F$1:$N$109,ROW(),0)*Portfolios!$G$13</f>
        <v>2.3035952063914799E-2</v>
      </c>
      <c r="X94" s="260">
        <f>HLOOKUP(X$1,'Asset Returns'!$F$1:$N$109,ROW(),0)*Portfolios!$G$14</f>
        <v>2.8672857563906799E-3</v>
      </c>
      <c r="Y94" s="138">
        <f>Portfolios!$R$34</f>
        <v>-0.68211369708646341</v>
      </c>
      <c r="Z94" s="138">
        <f>Portfolios!$P$11</f>
        <v>0.9378377404978776</v>
      </c>
      <c r="AA94" s="138">
        <f>Portfolios!$P$12</f>
        <v>0.64097224418739052</v>
      </c>
      <c r="AB94" s="138">
        <f>Portfolios!$P$13</f>
        <v>-2.1312105104673718</v>
      </c>
      <c r="AC94" s="138">
        <f>Portfolios!$P$14</f>
        <v>-0.78557102570241866</v>
      </c>
      <c r="AD94" s="138">
        <f>Portfolios!$P$15</f>
        <v>0.17519882647973573</v>
      </c>
      <c r="AE94" s="183">
        <f>INDEX(LINEST(N34:N94,'AC2'!$F34:$J94,1,1),1,1)</f>
        <v>-0.77147187121731053</v>
      </c>
      <c r="AF94" s="183">
        <f>INDEX(LINEST(O34:O94,'AC2'!$F34:$J94,1,1),1,1)</f>
        <v>0.8980605774680247</v>
      </c>
      <c r="AG94" s="183">
        <f>INDEX(LINEST(P34:P94,'AC2'!$F34:$J94,1,1),1,1)</f>
        <v>0.56018780880694208</v>
      </c>
      <c r="AH94" s="183">
        <f>INDEX(LINEST(Q34:Q94,'AC2'!$F34:$J94,1,1),1,1)</f>
        <v>-2.0770418243873783</v>
      </c>
      <c r="AI94" s="183">
        <f>INDEX(LINEST(R34:R94,'AC2'!$F34:$J94,1,1),1,1)</f>
        <v>-1.2077843701743995</v>
      </c>
      <c r="AJ94" s="183">
        <f>INDEX(LINEST(S34:S94,'AC2'!$F34:$J94,1,1),1,1)</f>
        <v>0.34075574261863129</v>
      </c>
      <c r="AL94" s="343">
        <f>AL93*(1+O94+'Risk Factors'!$J94)</f>
        <v>9.7412850606661799E-2</v>
      </c>
      <c r="AM94" s="343">
        <f>AM93*(1+P94+'Risk Factors'!$J94)</f>
        <v>0.19413351410393165</v>
      </c>
      <c r="AN94" s="343">
        <f>AN93*(1+Q94+'Risk Factors'!$J94)</f>
        <v>0.45746719262161006</v>
      </c>
      <c r="AO94" s="343">
        <f>AO93*(1+R94+'Risk Factors'!$J94)</f>
        <v>0.51900935135892678</v>
      </c>
      <c r="AP94" s="343">
        <f>AP93*(1+S94+'Risk Factors'!$J94)</f>
        <v>0.26787240116114669</v>
      </c>
      <c r="AR94" s="343">
        <f t="shared" si="21"/>
        <v>6.3424147454445315E-2</v>
      </c>
      <c r="AS94" s="343">
        <f t="shared" si="22"/>
        <v>0.12639762154271014</v>
      </c>
      <c r="AT94" s="343">
        <f t="shared" si="23"/>
        <v>0.2978505043196007</v>
      </c>
      <c r="AU94" s="343">
        <f t="shared" si="24"/>
        <v>0.33791974493941601</v>
      </c>
      <c r="AV94" s="343">
        <f t="shared" si="25"/>
        <v>0.17440798174382782</v>
      </c>
      <c r="AW94" s="418">
        <f t="shared" si="26"/>
        <v>1.535895309852277</v>
      </c>
      <c r="AX94" s="343">
        <f t="shared" si="30"/>
        <v>3.5701834473255145E-2</v>
      </c>
      <c r="AZ94" s="421">
        <v>43008</v>
      </c>
      <c r="BA94" s="92">
        <f>HLOOKUP(BA$1,'AC4'!$F$1:$AC$109,ROW(),0)*'Management and Hedging'!$G$10</f>
        <v>-6.7569800000000001E-3</v>
      </c>
      <c r="BB94" s="92">
        <f>HLOOKUP(BB$1,'AC4'!$F$1:$AC$109,ROW(),0)*'Management and Hedging'!$G$11</f>
        <v>-1.1250021937545708E-2</v>
      </c>
      <c r="BC94" s="92">
        <f>IF('Management and Hedging'!$G$13="yes",BA94+BB94,CQ94)</f>
        <v>-1.8007001937545709E-2</v>
      </c>
      <c r="BD94" s="138">
        <f>IF(IF('Management and Hedging'!$J$10="no",BL94,BO94)=0,NA(),IF('Management and Hedging'!$J$10="no",BL94,BO94))</f>
        <v>3.7896583398567767</v>
      </c>
      <c r="BE94" s="138">
        <f>IF(IF('Management and Hedging'!$J$10="no",BM94,BP94)=0,NA(),IF('Management and Hedging'!$J$10="no",BM94,BP94))</f>
        <v>-2.0770418243873783</v>
      </c>
      <c r="BF94" s="138">
        <f>IF(IF('Management and Hedging'!$J$10="no",BN94,BQ94)=0,NA(),IF('Management and Hedging'!$J$10="no",BN94,BQ94))</f>
        <v>-0.90370179153854679</v>
      </c>
      <c r="BG94" s="92">
        <f>IF('Management and Hedging'!$G$13="yes",BH94+BI94,CQ94)</f>
        <v>-1.7107001937545708E-2</v>
      </c>
      <c r="BH94" s="92">
        <f>HLOOKUP(BH$1,'Asset Returns'!$F$1:$ZY$109,ROW(),0)*'Management and Hedging'!$G$10</f>
        <v>-6.5769800000000005E-3</v>
      </c>
      <c r="BI94" s="92">
        <f>HLOOKUP(BI$1,'Asset Returns'!$F$1:$ZY$109,ROW(),0)*'Management and Hedging'!$G$11</f>
        <v>-1.0530021937545708E-2</v>
      </c>
      <c r="BJ94" s="92">
        <f>HLOOKUP(BJ$1,'AC4'!$F$1:$AC$109,ROW(),0)</f>
        <v>-3.37849E-2</v>
      </c>
      <c r="BK94" s="92">
        <f>HLOOKUP(BK$1,'AC4'!$F$1:$AC$109,ROW(),0)</f>
        <v>-1.4062527421932135E-2</v>
      </c>
      <c r="BL94" s="138">
        <f ca="1">'Management and Hedging'!$R$34</f>
        <v>2.5919346055080732</v>
      </c>
      <c r="BM94" s="138">
        <f ca="1">'Management and Hedging'!$R$36</f>
        <v>-2.1312105104673718</v>
      </c>
      <c r="BN94" s="138">
        <f>'Management and Hedging'!$R$38</f>
        <v>-1.1865814872722835</v>
      </c>
      <c r="BO94" s="138">
        <f>INDEX(LINEST(BJ34:BJ94,'AC2'!$F34:$J94,1,1),1,1)</f>
        <v>3.7896583398567767</v>
      </c>
      <c r="BP94" s="138">
        <f>INDEX(LINEST(BK34:BK94,'AC2'!$F34:$J94,1,1),1,1)</f>
        <v>-2.0770418243873783</v>
      </c>
      <c r="BQ94" s="138">
        <f>INDEX(LINEST(BC34:BC94,'AC2'!$F34:$J94,1,1),1,1)</f>
        <v>-0.90370179153854679</v>
      </c>
      <c r="BR94" s="138"/>
      <c r="BS94" s="138"/>
      <c r="BT94" s="138"/>
      <c r="BU94" s="138"/>
      <c r="BV94" s="138"/>
      <c r="BW94" s="138"/>
      <c r="BX94" s="138"/>
      <c r="BY94" s="138"/>
      <c r="BZ94" s="138"/>
      <c r="CA94" s="138"/>
      <c r="CB94" s="138"/>
      <c r="CC94" s="138"/>
      <c r="CD94" s="138"/>
      <c r="CE94" s="138"/>
      <c r="CF94" s="138"/>
      <c r="CG94" s="138"/>
      <c r="CH94" s="138"/>
      <c r="CI94" s="138"/>
      <c r="CJ94" s="138"/>
      <c r="CK94" s="343">
        <f>CK93*(1+BA94+'Risk Factors'!$J94)</f>
        <v>0.19028408797406482</v>
      </c>
      <c r="CL94" s="343">
        <f>CL93*(1+BB94+'Risk Factors'!$J94)</f>
        <v>1.30895864849807</v>
      </c>
      <c r="CN94" s="343">
        <f t="shared" si="27"/>
        <v>0.12692013330798049</v>
      </c>
      <c r="CO94" s="343">
        <f t="shared" si="28"/>
        <v>0.87307986669201954</v>
      </c>
      <c r="CP94" s="418">
        <f t="shared" si="29"/>
        <v>1.4992427364721348</v>
      </c>
      <c r="CQ94" s="343">
        <f t="shared" si="31"/>
        <v>-9.7820159237780313E-3</v>
      </c>
      <c r="CS94" s="92"/>
      <c r="CT94" s="260"/>
      <c r="CU94" s="260"/>
      <c r="CV94" s="260"/>
      <c r="CW94" s="260"/>
      <c r="CX94" s="260"/>
      <c r="CY94" s="260"/>
      <c r="CZ94" s="260"/>
      <c r="DB94" s="325"/>
      <c r="DC94" s="92"/>
      <c r="DD94" s="92"/>
      <c r="DE94" s="260"/>
      <c r="DF94" s="260"/>
      <c r="DG94" s="260"/>
      <c r="DH94" s="260"/>
      <c r="DI94" s="260"/>
    </row>
    <row r="95" spans="6:113">
      <c r="F95" s="421">
        <v>43039</v>
      </c>
      <c r="G95" s="92">
        <f>IF(Portfolios!$G$16="yes",SUM(T95:X95),AX95)</f>
        <v>3.0224184527009808E-2</v>
      </c>
      <c r="H95" s="138">
        <f>IF(IF(Portfolios!$J$10="no",'AC3'!Y95,'AC3'!AE95)=0,NA(),IF(Portfolios!$J$10="no",Y95,AE95))</f>
        <v>-0.77169826086655358</v>
      </c>
      <c r="I95" s="138">
        <f>IF(Portfolios!$J$11="no",NA(),IF(IF(Portfolios!$J$10="no",'AC3'!Z95,'AC3'!AF95)=0,NA(),IF(Portfolios!$J$10="no",Z95,AF95)))</f>
        <v>0.91594046264524376</v>
      </c>
      <c r="J95" s="138">
        <f>IF(Portfolios!$J$11="no",NA(),IF(IF(Portfolios!$J$10="no",'AC3'!AA95,'AC3'!AG95)=0,NA(),IF(Portfolios!$J$10="no",AA95,AG95)))</f>
        <v>0.53694967957303852</v>
      </c>
      <c r="K95" s="138">
        <f>IF(Portfolios!$J$11="no",NA(),IF(IF(Portfolios!$J$10="no",'AC3'!AB95,'AC3'!AH95)=0,NA(),IF(Portfolios!$J$10="no",AB95,AH95)))</f>
        <v>-2.0908178344765926</v>
      </c>
      <c r="L95" s="138">
        <f>IF(Portfolios!$J$11="no",NA(),IF(IF(Portfolios!$J$10="no",'AC3'!AC95,'AC3'!AI95)=0,NA(),IF(Portfolios!$J$10="no",AC95,AI95)))</f>
        <v>-1.2007814290922041</v>
      </c>
      <c r="M95" s="138">
        <f>IF(Portfolios!$J$11="no",NA(),IF(IF(Portfolios!$J$10="no",'AC3'!AD95,'AC3'!AJ95)=0,NA(),IF(Portfolios!$J$10="no",AD95,AJ95)))</f>
        <v>0.35246251991128541</v>
      </c>
      <c r="N95" s="92">
        <f>G95-'Risk Factors'!J95</f>
        <v>2.9324184527009807E-2</v>
      </c>
      <c r="O95" s="260">
        <f>HLOOKUP(O$1,'Asset Returns'!$F$1:$N$109,ROW(),0)-'Risk Factors'!$J95</f>
        <v>5.711395242991503E-2</v>
      </c>
      <c r="P95" s="260">
        <f>HLOOKUP(P$1,'Asset Returns'!$F$1:$N$109,ROW(),0)-'Risk Factors'!$J95</f>
        <v>7.5076370200196765E-2</v>
      </c>
      <c r="Q95" s="260">
        <f>HLOOKUP(Q$1,'Asset Returns'!$F$1:$N$109,ROW(),0)-'Risk Factors'!$J95</f>
        <v>-1.8025449405823724E-2</v>
      </c>
      <c r="R95" s="260">
        <f>HLOOKUP(R$1,'Asset Returns'!$F$1:$N$109,ROW(),0)-'Risk Factors'!$J95</f>
        <v>3.1045589447650356E-2</v>
      </c>
      <c r="S95" s="260">
        <f>HLOOKUP(S$1,'Asset Returns'!$F$1:$N$109,ROW(),0)-'Risk Factors'!$J95</f>
        <v>6.0995551257253214E-2</v>
      </c>
      <c r="T95" s="260">
        <f>HLOOKUP(T$1,'Asset Returns'!$F$1:$N$109,ROW(),0)*Portfolios!$G$10</f>
        <v>5.8013952429915028E-3</v>
      </c>
      <c r="U95" s="260">
        <f>HLOOKUP(U$1,'Asset Returns'!$F$1:$N$109,ROW(),0)*Portfolios!$G$11</f>
        <v>7.5976370200196769E-3</v>
      </c>
      <c r="V95" s="260">
        <f>HLOOKUP(V$1,'Asset Returns'!$F$1:$N$109,ROW(),0)*Portfolios!$G$12</f>
        <v>-5.1376348217471168E-3</v>
      </c>
      <c r="W95" s="260">
        <f>HLOOKUP(W$1,'Asset Returns'!$F$1:$N$109,ROW(),0)*Portfolios!$G$13</f>
        <v>9.5836768342951063E-3</v>
      </c>
      <c r="X95" s="260">
        <f>HLOOKUP(X$1,'Asset Returns'!$F$1:$N$109,ROW(),0)*Portfolios!$G$14</f>
        <v>1.237911025145064E-2</v>
      </c>
      <c r="Y95" s="138">
        <f>Portfolios!$R$34</f>
        <v>-0.68211369708646341</v>
      </c>
      <c r="Z95" s="138">
        <f>Portfolios!$P$11</f>
        <v>0.9378377404978776</v>
      </c>
      <c r="AA95" s="138">
        <f>Portfolios!$P$12</f>
        <v>0.64097224418739052</v>
      </c>
      <c r="AB95" s="138">
        <f>Portfolios!$P$13</f>
        <v>-2.1312105104673718</v>
      </c>
      <c r="AC95" s="138">
        <f>Portfolios!$P$14</f>
        <v>-0.78557102570241866</v>
      </c>
      <c r="AD95" s="138">
        <f>Portfolios!$P$15</f>
        <v>0.17519882647973573</v>
      </c>
      <c r="AE95" s="183">
        <f>INDEX(LINEST(N35:N95,'AC2'!$F35:$J95,1,1),1,1)</f>
        <v>-0.77169826086655358</v>
      </c>
      <c r="AF95" s="183">
        <f>INDEX(LINEST(O35:O95,'AC2'!$F35:$J95,1,1),1,1)</f>
        <v>0.91594046264524376</v>
      </c>
      <c r="AG95" s="183">
        <f>INDEX(LINEST(P35:P95,'AC2'!$F35:$J95,1,1),1,1)</f>
        <v>0.53694967957303852</v>
      </c>
      <c r="AH95" s="183">
        <f>INDEX(LINEST(Q35:Q95,'AC2'!$F35:$J95,1,1),1,1)</f>
        <v>-2.0908178344765926</v>
      </c>
      <c r="AI95" s="183">
        <f>INDEX(LINEST(R35:R95,'AC2'!$F35:$J95,1,1),1,1)</f>
        <v>-1.2007814290922041</v>
      </c>
      <c r="AJ95" s="183">
        <f>INDEX(LINEST(S35:S95,'AC2'!$F35:$J95,1,1),1,1)</f>
        <v>0.35246251991128541</v>
      </c>
      <c r="AL95" s="343">
        <f>AL94*(1+O95+'Risk Factors'!$J95)</f>
        <v>0.10306415508781909</v>
      </c>
      <c r="AM95" s="343">
        <f>AM94*(1+P95+'Risk Factors'!$J95)</f>
        <v>0.20888307383975707</v>
      </c>
      <c r="AN95" s="343">
        <f>AN94*(1+Q95+'Risk Factors'!$J95)</f>
        <v>0.44963286135954444</v>
      </c>
      <c r="AO95" s="343">
        <f>AO94*(1+R95+'Risk Factors'!$J95)</f>
        <v>0.53558941101693036</v>
      </c>
      <c r="AP95" s="343">
        <f>AP94*(1+S95+'Risk Factors'!$J95)</f>
        <v>0.28445251109761993</v>
      </c>
      <c r="AR95" s="343">
        <f t="shared" si="21"/>
        <v>6.516358161411627E-2</v>
      </c>
      <c r="AS95" s="343">
        <f t="shared" si="22"/>
        <v>0.13206889648846695</v>
      </c>
      <c r="AT95" s="343">
        <f t="shared" si="23"/>
        <v>0.28428591524012947</v>
      </c>
      <c r="AU95" s="343">
        <f t="shared" si="24"/>
        <v>0.33863300258678453</v>
      </c>
      <c r="AV95" s="343">
        <f t="shared" si="25"/>
        <v>0.17984860407050277</v>
      </c>
      <c r="AW95" s="418">
        <f t="shared" si="26"/>
        <v>1.5816220124016709</v>
      </c>
      <c r="AX95" s="343">
        <f t="shared" si="30"/>
        <v>2.9772017829647446E-2</v>
      </c>
      <c r="AZ95" s="421">
        <v>43039</v>
      </c>
      <c r="BA95" s="92">
        <f>HLOOKUP(BA$1,'AC4'!$F$1:$AC$109,ROW(),0)*'Management and Hedging'!$G$10</f>
        <v>-2.058186E-2</v>
      </c>
      <c r="BB95" s="92">
        <f>HLOOKUP(BB$1,'AC4'!$F$1:$AC$109,ROW(),0)*'Management and Hedging'!$G$11</f>
        <v>-1.442035952465898E-2</v>
      </c>
      <c r="BC95" s="92">
        <f>IF('Management and Hedging'!$G$13="yes",BA95+BB95,CQ95)</f>
        <v>-3.5002219524658984E-2</v>
      </c>
      <c r="BD95" s="138">
        <f>IF(IF('Management and Hedging'!$J$10="no",BL95,BO95)=0,NA(),IF('Management and Hedging'!$J$10="no",BL95,BO95))</f>
        <v>3.7477699578481785</v>
      </c>
      <c r="BE95" s="138">
        <f>IF(IF('Management and Hedging'!$J$10="no",BM95,BP95)=0,NA(),IF('Management and Hedging'!$J$10="no",BM95,BP95))</f>
        <v>-2.0908178344765926</v>
      </c>
      <c r="BF95" s="138">
        <f>IF(IF('Management and Hedging'!$J$10="no",BN95,BQ95)=0,NA(),IF('Management and Hedging'!$J$10="no",BN95,BQ95))</f>
        <v>-0.92310027601163913</v>
      </c>
      <c r="BG95" s="92">
        <f>IF('Management and Hedging'!$G$13="yes",BH95+BI95,CQ95)</f>
        <v>-3.4102219524658979E-2</v>
      </c>
      <c r="BH95" s="92">
        <f>HLOOKUP(BH$1,'Asset Returns'!$F$1:$ZY$109,ROW(),0)*'Management and Hedging'!$G$10</f>
        <v>-2.0401860000000001E-2</v>
      </c>
      <c r="BI95" s="92">
        <f>HLOOKUP(BI$1,'Asset Returns'!$F$1:$ZY$109,ROW(),0)*'Management and Hedging'!$G$11</f>
        <v>-1.3700359524658978E-2</v>
      </c>
      <c r="BJ95" s="92">
        <f>HLOOKUP(BJ$1,'AC4'!$F$1:$AC$109,ROW(),0)</f>
        <v>-0.1029093</v>
      </c>
      <c r="BK95" s="92">
        <f>HLOOKUP(BK$1,'AC4'!$F$1:$AC$109,ROW(),0)</f>
        <v>-1.8025449405823724E-2</v>
      </c>
      <c r="BL95" s="138">
        <f ca="1">'Management and Hedging'!$R$34</f>
        <v>2.5919346055080732</v>
      </c>
      <c r="BM95" s="138">
        <f ca="1">'Management and Hedging'!$R$36</f>
        <v>-2.1312105104673718</v>
      </c>
      <c r="BN95" s="138">
        <f>'Management and Hedging'!$R$38</f>
        <v>-1.1865814872722835</v>
      </c>
      <c r="BO95" s="138">
        <f>INDEX(LINEST(BJ35:BJ95,'AC2'!$F35:$J95,1,1),1,1)</f>
        <v>3.7477699578481785</v>
      </c>
      <c r="BP95" s="138">
        <f>INDEX(LINEST(BK35:BK95,'AC2'!$F35:$J95,1,1),1,1)</f>
        <v>-2.0908178344765926</v>
      </c>
      <c r="BQ95" s="138">
        <f>INDEX(LINEST(BC35:BC95,'AC2'!$F35:$J95,1,1),1,1)</f>
        <v>-0.92310027601163913</v>
      </c>
      <c r="BR95" s="138"/>
      <c r="BS95" s="138"/>
      <c r="BT95" s="138"/>
      <c r="BU95" s="138"/>
      <c r="BV95" s="138"/>
      <c r="BW95" s="138"/>
      <c r="BX95" s="138"/>
      <c r="BY95" s="138"/>
      <c r="BZ95" s="138"/>
      <c r="CA95" s="138"/>
      <c r="CB95" s="138"/>
      <c r="CC95" s="138"/>
      <c r="CD95" s="138"/>
      <c r="CE95" s="138"/>
      <c r="CF95" s="138"/>
      <c r="CG95" s="138"/>
      <c r="CH95" s="138"/>
      <c r="CI95" s="138"/>
      <c r="CJ95" s="138"/>
      <c r="CK95" s="343">
        <f>CK94*(1+BA95+'Risk Factors'!$J95)</f>
        <v>0.18653894319433159</v>
      </c>
      <c r="CL95" s="343">
        <f>CL94*(1+BB95+'Risk Factors'!$J95)</f>
        <v>1.2912610569674643</v>
      </c>
      <c r="CN95" s="343">
        <f t="shared" si="27"/>
        <v>0.12622746188517289</v>
      </c>
      <c r="CO95" s="343">
        <f t="shared" si="28"/>
        <v>0.87377253811482714</v>
      </c>
      <c r="CP95" s="418">
        <f t="shared" si="29"/>
        <v>1.4778000001617959</v>
      </c>
      <c r="CQ95" s="343">
        <f t="shared" si="31"/>
        <v>-1.4302377986366466E-2</v>
      </c>
      <c r="CS95" s="92"/>
      <c r="CT95" s="260"/>
      <c r="CU95" s="260"/>
      <c r="CV95" s="260"/>
      <c r="CW95" s="260"/>
      <c r="CX95" s="260"/>
      <c r="CY95" s="260"/>
      <c r="CZ95" s="260"/>
      <c r="DB95" s="325"/>
      <c r="DC95" s="92"/>
      <c r="DD95" s="92"/>
      <c r="DE95" s="260"/>
      <c r="DF95" s="260"/>
      <c r="DG95" s="260"/>
      <c r="DH95" s="260"/>
      <c r="DI95" s="260"/>
    </row>
    <row r="96" spans="6:113">
      <c r="F96" s="421">
        <v>43069</v>
      </c>
      <c r="G96" s="92">
        <f>IF(Portfolios!$G$16="yes",SUM(T96:X96),AX96)</f>
        <v>-7.9228836646362488E-2</v>
      </c>
      <c r="H96" s="138">
        <f>IF(IF(Portfolios!$J$10="no",'AC3'!Y96,'AC3'!AE96)=0,NA(),IF(Portfolios!$J$10="no",Y96,AE96))</f>
        <v>-0.87557862885903881</v>
      </c>
      <c r="I96" s="138">
        <f>IF(Portfolios!$J$11="no",NA(),IF(IF(Portfolios!$J$10="no",'AC3'!Z96,'AC3'!AF96)=0,NA(),IF(Portfolios!$J$10="no",Z96,AF96)))</f>
        <v>0.86229064367819164</v>
      </c>
      <c r="J96" s="138">
        <f>IF(Portfolios!$J$11="no",NA(),IF(IF(Portfolios!$J$10="no",'AC3'!AA96,'AC3'!AG96)=0,NA(),IF(Portfolios!$J$10="no",AA96,AG96)))</f>
        <v>0.42195809824177011</v>
      </c>
      <c r="K96" s="138">
        <f>IF(Portfolios!$J$11="no",NA(),IF(IF(Portfolios!$J$10="no",'AC3'!AB96,'AC3'!AH96)=0,NA(),IF(Portfolios!$J$10="no",AB96,AH96)))</f>
        <v>-2.4233678657393574</v>
      </c>
      <c r="L96" s="138">
        <f>IF(Portfolios!$J$11="no",NA(),IF(IF(Portfolios!$J$10="no",'AC3'!AC96,'AC3'!AI96)=0,NA(),IF(Portfolios!$J$10="no",AC96,AI96)))</f>
        <v>-1.1623460046089309</v>
      </c>
      <c r="M96" s="138">
        <f>IF(Portfolios!$J$11="no",NA(),IF(IF(Portfolios!$J$10="no",'AC3'!AD96,'AC3'!AJ96)=0,NA(),IF(Portfolios!$J$10="no",AD96,AJ96)))</f>
        <v>0.3585532902672563</v>
      </c>
      <c r="N96" s="92">
        <f>G96-'Risk Factors'!J96</f>
        <v>-8.0028836646362483E-2</v>
      </c>
      <c r="O96" s="260">
        <f>HLOOKUP(O$1,'Asset Returns'!$F$1:$N$109,ROW(),0)-'Risk Factors'!$J96</f>
        <v>-9.4684408094191982E-3</v>
      </c>
      <c r="P96" s="260">
        <f>HLOOKUP(P$1,'Asset Returns'!$F$1:$N$109,ROW(),0)-'Risk Factors'!$J96</f>
        <v>-5.3110507854201551E-2</v>
      </c>
      <c r="Q96" s="260">
        <f>HLOOKUP(Q$1,'Asset Returns'!$F$1:$N$109,ROW(),0)-'Risk Factors'!$J96</f>
        <v>-0.27399688381314047</v>
      </c>
      <c r="R96" s="260">
        <f>HLOOKUP(R$1,'Asset Returns'!$F$1:$N$109,ROW(),0)-'Risk Factors'!$J96</f>
        <v>2.2367565408428238E-2</v>
      </c>
      <c r="S96" s="260">
        <f>HLOOKUP(S$1,'Asset Returns'!$F$1:$N$109,ROW(),0)-'Risk Factors'!$J96</f>
        <v>8.5892687070662447E-3</v>
      </c>
      <c r="T96" s="260">
        <f>HLOOKUP(T$1,'Asset Returns'!$F$1:$N$109,ROW(),0)*Portfolios!$G$10</f>
        <v>-8.668440809419198E-4</v>
      </c>
      <c r="U96" s="260">
        <f>HLOOKUP(U$1,'Asset Returns'!$F$1:$N$109,ROW(),0)*Portfolios!$G$11</f>
        <v>-5.2310507854201552E-3</v>
      </c>
      <c r="V96" s="260">
        <f>HLOOKUP(V$1,'Asset Returns'!$F$1:$N$109,ROW(),0)*Portfolios!$G$12</f>
        <v>-8.1959065143942134E-2</v>
      </c>
      <c r="W96" s="260">
        <f>HLOOKUP(W$1,'Asset Returns'!$F$1:$N$109,ROW(),0)*Portfolios!$G$13</f>
        <v>6.9502696225284709E-3</v>
      </c>
      <c r="X96" s="260">
        <f>HLOOKUP(X$1,'Asset Returns'!$F$1:$N$109,ROW(),0)*Portfolios!$G$14</f>
        <v>1.8778537414132486E-3</v>
      </c>
      <c r="Y96" s="138">
        <f>Portfolios!$R$34</f>
        <v>-0.68211369708646341</v>
      </c>
      <c r="Z96" s="138">
        <f>Portfolios!$P$11</f>
        <v>0.9378377404978776</v>
      </c>
      <c r="AA96" s="138">
        <f>Portfolios!$P$12</f>
        <v>0.64097224418739052</v>
      </c>
      <c r="AB96" s="138">
        <f>Portfolios!$P$13</f>
        <v>-2.1312105104673718</v>
      </c>
      <c r="AC96" s="138">
        <f>Portfolios!$P$14</f>
        <v>-0.78557102570241866</v>
      </c>
      <c r="AD96" s="138">
        <f>Portfolios!$P$15</f>
        <v>0.17519882647973573</v>
      </c>
      <c r="AE96" s="183">
        <f>INDEX(LINEST(N36:N96,'AC2'!$F36:$J96,1,1),1,1)</f>
        <v>-0.87557862885903881</v>
      </c>
      <c r="AF96" s="183">
        <f>INDEX(LINEST(O36:O96,'AC2'!$F36:$J96,1,1),1,1)</f>
        <v>0.86229064367819164</v>
      </c>
      <c r="AG96" s="183">
        <f>INDEX(LINEST(P36:P96,'AC2'!$F36:$J96,1,1),1,1)</f>
        <v>0.42195809824177011</v>
      </c>
      <c r="AH96" s="183">
        <f>INDEX(LINEST(Q36:Q96,'AC2'!$F36:$J96,1,1),1,1)</f>
        <v>-2.4233678657393574</v>
      </c>
      <c r="AI96" s="183">
        <f>INDEX(LINEST(R36:R96,'AC2'!$F36:$J96,1,1),1,1)</f>
        <v>-1.1623460046089309</v>
      </c>
      <c r="AJ96" s="183">
        <f>INDEX(LINEST(S36:S96,'AC2'!$F36:$J96,1,1),1,1)</f>
        <v>0.3585532902672563</v>
      </c>
      <c r="AL96" s="343">
        <f>AL95*(1+O96+'Risk Factors'!$J96)</f>
        <v>0.10217074955986753</v>
      </c>
      <c r="AM96" s="343">
        <f>AM95*(1+P96+'Risk Factors'!$J96)</f>
        <v>0.1979562941650527</v>
      </c>
      <c r="AN96" s="343">
        <f>AN95*(1+Q96+'Risk Factors'!$J96)</f>
        <v>0.32679456477613111</v>
      </c>
      <c r="AO96" s="343">
        <f>AO95*(1+R96+'Risk Factors'!$J96)</f>
        <v>0.54799771372872663</v>
      </c>
      <c r="AP96" s="343">
        <f>AP95*(1+S96+'Risk Factors'!$J96)</f>
        <v>0.28712331215871523</v>
      </c>
      <c r="AR96" s="343">
        <f t="shared" si="21"/>
        <v>6.9882195742260941E-2</v>
      </c>
      <c r="AS96" s="343">
        <f t="shared" si="22"/>
        <v>0.1353970735934448</v>
      </c>
      <c r="AT96" s="343">
        <f t="shared" si="23"/>
        <v>0.2235191759047537</v>
      </c>
      <c r="AU96" s="343">
        <f t="shared" si="24"/>
        <v>0.37481650728874227</v>
      </c>
      <c r="AV96" s="343">
        <f t="shared" si="25"/>
        <v>0.1963850474707983</v>
      </c>
      <c r="AW96" s="418">
        <f t="shared" si="26"/>
        <v>1.4620426343884931</v>
      </c>
      <c r="AX96" s="343">
        <f t="shared" si="30"/>
        <v>-7.5605534745686875E-2</v>
      </c>
      <c r="AZ96" s="421">
        <v>43069</v>
      </c>
      <c r="BA96" s="92">
        <f>HLOOKUP(BA$1,'AC4'!$F$1:$AC$109,ROW(),0)*'Management and Hedging'!$G$10</f>
        <v>-5.6677400000000001E-3</v>
      </c>
      <c r="BB96" s="92">
        <f>HLOOKUP(BB$1,'AC4'!$F$1:$AC$109,ROW(),0)*'Management and Hedging'!$G$11</f>
        <v>-0.21919750705051239</v>
      </c>
      <c r="BC96" s="92">
        <f>IF('Management and Hedging'!$G$13="yes",BA96+BB96,CQ96)</f>
        <v>-0.22486524705051239</v>
      </c>
      <c r="BD96" s="138">
        <f>IF(IF('Management and Hedging'!$J$10="no",BL96,BO96)=0,NA(),IF('Management and Hedging'!$J$10="no",BL96,BO96))</f>
        <v>3.6465742284836415</v>
      </c>
      <c r="BE96" s="138">
        <f>IF(IF('Management and Hedging'!$J$10="no",BM96,BP96)=0,NA(),IF('Management and Hedging'!$J$10="no",BM96,BP96))</f>
        <v>-2.4233678657393574</v>
      </c>
      <c r="BF96" s="138">
        <f>IF(IF('Management and Hedging'!$J$10="no",BN96,BQ96)=0,NA(),IF('Management and Hedging'!$J$10="no",BN96,BQ96))</f>
        <v>-1.2093794468947576</v>
      </c>
      <c r="BG96" s="92">
        <f>IF('Management and Hedging'!$G$13="yes",BH96+BI96,CQ96)</f>
        <v>-0.22406524705051237</v>
      </c>
      <c r="BH96" s="92">
        <f>HLOOKUP(BH$1,'Asset Returns'!$F$1:$ZY$109,ROW(),0)*'Management and Hedging'!$G$10</f>
        <v>-5.5077400000000006E-3</v>
      </c>
      <c r="BI96" s="92">
        <f>HLOOKUP(BI$1,'Asset Returns'!$F$1:$ZY$109,ROW(),0)*'Management and Hedging'!$G$11</f>
        <v>-0.21855750705051236</v>
      </c>
      <c r="BJ96" s="92">
        <f>HLOOKUP(BJ$1,'AC4'!$F$1:$AC$109,ROW(),0)</f>
        <v>-2.8338699999999998E-2</v>
      </c>
      <c r="BK96" s="92">
        <f>HLOOKUP(BK$1,'AC4'!$F$1:$AC$109,ROW(),0)</f>
        <v>-0.27399688381314047</v>
      </c>
      <c r="BL96" s="138">
        <f ca="1">'Management and Hedging'!$R$34</f>
        <v>2.5919346055080732</v>
      </c>
      <c r="BM96" s="138">
        <f ca="1">'Management and Hedging'!$R$36</f>
        <v>-2.1312105104673718</v>
      </c>
      <c r="BN96" s="138">
        <f>'Management and Hedging'!$R$38</f>
        <v>-1.1865814872722835</v>
      </c>
      <c r="BO96" s="138">
        <f>INDEX(LINEST(BJ36:BJ96,'AC2'!$F36:$J96,1,1),1,1)</f>
        <v>3.6465742284836415</v>
      </c>
      <c r="BP96" s="138">
        <f>INDEX(LINEST(BK36:BK96,'AC2'!$F36:$J96,1,1),1,1)</f>
        <v>-2.4233678657393574</v>
      </c>
      <c r="BQ96" s="138">
        <f>INDEX(LINEST(BC36:BC96,'AC2'!$F36:$J96,1,1),1,1)</f>
        <v>-1.2093794468947576</v>
      </c>
      <c r="BR96" s="138"/>
      <c r="BS96" s="138"/>
      <c r="BT96" s="138"/>
      <c r="BU96" s="138"/>
      <c r="BV96" s="138"/>
      <c r="BW96" s="138"/>
      <c r="BX96" s="138"/>
      <c r="BY96" s="138"/>
      <c r="BZ96" s="138"/>
      <c r="CA96" s="138"/>
      <c r="CB96" s="138"/>
      <c r="CC96" s="138"/>
      <c r="CD96" s="138"/>
      <c r="CE96" s="138"/>
      <c r="CF96" s="138"/>
      <c r="CG96" s="138"/>
      <c r="CH96" s="138"/>
      <c r="CI96" s="138"/>
      <c r="CJ96" s="138"/>
      <c r="CK96" s="343">
        <f>CK95*(1+BA96+'Risk Factors'!$J96)</f>
        <v>0.18563092011898683</v>
      </c>
      <c r="CL96" s="343">
        <f>CL95*(1+BB96+'Risk Factors'!$J96)</f>
        <v>1.0092528611743605</v>
      </c>
      <c r="CN96" s="343">
        <f t="shared" si="27"/>
        <v>0.15535479100574881</v>
      </c>
      <c r="CO96" s="343">
        <f t="shared" si="28"/>
        <v>0.84464520899425122</v>
      </c>
      <c r="CP96" s="418">
        <f t="shared" si="29"/>
        <v>1.1948837812933473</v>
      </c>
      <c r="CQ96" s="343">
        <f t="shared" si="31"/>
        <v>-0.19144418651879402</v>
      </c>
      <c r="CS96" s="92"/>
      <c r="CT96" s="260"/>
      <c r="CU96" s="260"/>
      <c r="CV96" s="260"/>
      <c r="CW96" s="260"/>
      <c r="CX96" s="260"/>
      <c r="CY96" s="260"/>
      <c r="CZ96" s="260"/>
      <c r="DB96" s="325"/>
      <c r="DC96" s="92"/>
      <c r="DD96" s="92"/>
      <c r="DE96" s="260"/>
      <c r="DF96" s="260"/>
      <c r="DG96" s="260"/>
      <c r="DH96" s="260"/>
      <c r="DI96" s="260"/>
    </row>
    <row r="97" spans="6:113">
      <c r="F97" s="421">
        <v>43100</v>
      </c>
      <c r="G97" s="92">
        <f>IF(Portfolios!$G$16="yes",SUM(T97:X97),AX97)</f>
        <v>4.2768601499220196E-2</v>
      </c>
      <c r="H97" s="138">
        <f>IF(IF(Portfolios!$J$10="no",'AC3'!Y97,'AC3'!AE97)=0,NA(),IF(Portfolios!$J$10="no",Y97,AE97))</f>
        <v>-0.94975094718449105</v>
      </c>
      <c r="I97" s="138">
        <f>IF(Portfolios!$J$11="no",NA(),IF(IF(Portfolios!$J$10="no",'AC3'!Z97,'AC3'!AF97)=0,NA(),IF(Portfolios!$J$10="no",Z97,AF97)))</f>
        <v>0.86134776235770516</v>
      </c>
      <c r="J97" s="138">
        <f>IF(Portfolios!$J$11="no",NA(),IF(IF(Portfolios!$J$10="no",'AC3'!AA97,'AC3'!AG97)=0,NA(),IF(Portfolios!$J$10="no",AA97,AG97)))</f>
        <v>0.51540828350439361</v>
      </c>
      <c r="K97" s="138">
        <f>IF(Portfolios!$J$11="no",NA(),IF(IF(Portfolios!$J$10="no",'AC3'!AB97,'AC3'!AH97)=0,NA(),IF(Portfolios!$J$10="no",AB97,AH97)))</f>
        <v>-2.8029789613999725</v>
      </c>
      <c r="L97" s="138">
        <f>IF(Portfolios!$J$11="no",NA(),IF(IF(Portfolios!$J$10="no",'AC3'!AC97,'AC3'!AI97)=0,NA(),IF(Portfolios!$J$10="no",AC97,AI97)))</f>
        <v>-1.0476002377668208</v>
      </c>
      <c r="M97" s="138">
        <f>IF(Portfolios!$J$11="no",NA(),IF(IF(Portfolios!$J$10="no",'AC3'!AD97,'AC3'!AJ97)=0,NA(),IF(Portfolios!$J$10="no",AD97,AJ97)))</f>
        <v>0.33873603989668027</v>
      </c>
      <c r="N97" s="92">
        <f>G97-'Risk Factors'!J97</f>
        <v>4.1868601499220198E-2</v>
      </c>
      <c r="O97" s="260">
        <f>HLOOKUP(O$1,'Asset Returns'!$F$1:$N$109,ROW(),0)-'Risk Factors'!$J97</f>
        <v>6.7087273362174474E-2</v>
      </c>
      <c r="P97" s="260">
        <f>HLOOKUP(P$1,'Asset Returns'!$F$1:$N$109,ROW(),0)-'Risk Factors'!$J97</f>
        <v>7.8597907949790838E-2</v>
      </c>
      <c r="Q97" s="260">
        <f>HLOOKUP(Q$1,'Asset Returns'!$F$1:$N$109,ROW(),0)-'Risk Factors'!$J97</f>
        <v>7.7704633293633876E-2</v>
      </c>
      <c r="R97" s="260">
        <f>HLOOKUP(R$1,'Asset Returns'!$F$1:$N$109,ROW(),0)-'Risk Factors'!$J97</f>
        <v>1.6277435096623171E-2</v>
      </c>
      <c r="S97" s="260">
        <f>HLOOKUP(S$1,'Asset Returns'!$F$1:$N$109,ROW(),0)-'Risk Factors'!$J97</f>
        <v>-4.4726857452672564E-3</v>
      </c>
      <c r="T97" s="260">
        <f>HLOOKUP(T$1,'Asset Returns'!$F$1:$N$109,ROW(),0)*Portfolios!$G$10</f>
        <v>6.7987273362174472E-3</v>
      </c>
      <c r="U97" s="260">
        <f>HLOOKUP(U$1,'Asset Returns'!$F$1:$N$109,ROW(),0)*Portfolios!$G$11</f>
        <v>7.9497907949790843E-3</v>
      </c>
      <c r="V97" s="260">
        <f>HLOOKUP(V$1,'Asset Returns'!$F$1:$N$109,ROW(),0)*Portfolios!$G$12</f>
        <v>2.3581389988090163E-2</v>
      </c>
      <c r="W97" s="260">
        <f>HLOOKUP(W$1,'Asset Returns'!$F$1:$N$109,ROW(),0)*Portfolios!$G$13</f>
        <v>5.1532305289869514E-3</v>
      </c>
      <c r="X97" s="260">
        <f>HLOOKUP(X$1,'Asset Returns'!$F$1:$N$109,ROW(),0)*Portfolios!$G$14</f>
        <v>-7.1453714905345123E-4</v>
      </c>
      <c r="Y97" s="138">
        <f>Portfolios!$R$34</f>
        <v>-0.68211369708646341</v>
      </c>
      <c r="Z97" s="138">
        <f>Portfolios!$P$11</f>
        <v>0.9378377404978776</v>
      </c>
      <c r="AA97" s="138">
        <f>Portfolios!$P$12</f>
        <v>0.64097224418739052</v>
      </c>
      <c r="AB97" s="138">
        <f>Portfolios!$P$13</f>
        <v>-2.1312105104673718</v>
      </c>
      <c r="AC97" s="138">
        <f>Portfolios!$P$14</f>
        <v>-0.78557102570241866</v>
      </c>
      <c r="AD97" s="138">
        <f>Portfolios!$P$15</f>
        <v>0.17519882647973573</v>
      </c>
      <c r="AE97" s="183">
        <f>INDEX(LINEST(N37:N97,'AC2'!$F37:$J97,1,1),1,1)</f>
        <v>-0.94975094718449105</v>
      </c>
      <c r="AF97" s="183">
        <f>INDEX(LINEST(O37:O97,'AC2'!$F37:$J97,1,1),1,1)</f>
        <v>0.86134776235770516</v>
      </c>
      <c r="AG97" s="183">
        <f>INDEX(LINEST(P37:P97,'AC2'!$F37:$J97,1,1),1,1)</f>
        <v>0.51540828350439361</v>
      </c>
      <c r="AH97" s="183">
        <f>INDEX(LINEST(Q37:Q97,'AC2'!$F37:$J97,1,1),1,1)</f>
        <v>-2.8029789613999725</v>
      </c>
      <c r="AI97" s="183">
        <f>INDEX(LINEST(R37:R97,'AC2'!$F37:$J97,1,1),1,1)</f>
        <v>-1.0476002377668208</v>
      </c>
      <c r="AJ97" s="183">
        <f>INDEX(LINEST(S37:S97,'AC2'!$F37:$J97,1,1),1,1)</f>
        <v>0.33873603989668027</v>
      </c>
      <c r="AL97" s="343">
        <f>AL96*(1+O97+'Risk Factors'!$J97)</f>
        <v>0.10911706023981252</v>
      </c>
      <c r="AM97" s="343">
        <f>AM96*(1+P97+'Risk Factors'!$J97)</f>
        <v>0.21369340541666779</v>
      </c>
      <c r="AN97" s="343">
        <f>AN96*(1+Q97+'Risk Factors'!$J97)</f>
        <v>0.35248213170271159</v>
      </c>
      <c r="AO97" s="343">
        <f>AO96*(1+R97+'Risk Factors'!$J97)</f>
        <v>0.5574109088893997</v>
      </c>
      <c r="AP97" s="343">
        <f>AP96*(1+S97+'Risk Factors'!$J97)</f>
        <v>0.28609751079423185</v>
      </c>
      <c r="AR97" s="343">
        <f t="shared" si="21"/>
        <v>7.1844210673672401E-2</v>
      </c>
      <c r="AS97" s="343">
        <f t="shared" si="22"/>
        <v>0.14069875053990866</v>
      </c>
      <c r="AT97" s="343">
        <f t="shared" si="23"/>
        <v>0.23207920441679106</v>
      </c>
      <c r="AU97" s="343">
        <f t="shared" si="24"/>
        <v>0.36700720017603411</v>
      </c>
      <c r="AV97" s="343">
        <f t="shared" si="25"/>
        <v>0.18837063419359376</v>
      </c>
      <c r="AW97" s="418">
        <f t="shared" si="26"/>
        <v>1.5188010170428234</v>
      </c>
      <c r="AX97" s="343">
        <f t="shared" si="30"/>
        <v>3.8821291061782004E-2</v>
      </c>
      <c r="AZ97" s="421">
        <v>43100</v>
      </c>
      <c r="BA97" s="92">
        <f>HLOOKUP(BA$1,'AC4'!$F$1:$AC$109,ROW(),0)*'Management and Hedging'!$G$10</f>
        <v>1.5237780000000001E-2</v>
      </c>
      <c r="BB97" s="92">
        <f>HLOOKUP(BB$1,'AC4'!$F$1:$AC$109,ROW(),0)*'Management and Hedging'!$G$11</f>
        <v>6.2163706634907105E-2</v>
      </c>
      <c r="BC97" s="92">
        <f>IF('Management and Hedging'!$G$13="yes",BA97+BB97,CQ97)</f>
        <v>7.7401486634907105E-2</v>
      </c>
      <c r="BD97" s="138">
        <f>IF(IF('Management and Hedging'!$J$10="no",BL97,BO97)=0,NA(),IF('Management and Hedging'!$J$10="no",BL97,BO97))</f>
        <v>3.7028574693831096</v>
      </c>
      <c r="BE97" s="138">
        <f>IF(IF('Management and Hedging'!$J$10="no",BM97,BP97)=0,NA(),IF('Management and Hedging'!$J$10="no",BM97,BP97))</f>
        <v>-2.8029789613999725</v>
      </c>
      <c r="BF97" s="138">
        <f>IF(IF('Management and Hedging'!$J$10="no",BN97,BQ97)=0,NA(),IF('Management and Hedging'!$J$10="no",BN97,BQ97))</f>
        <v>-1.5018116752433555</v>
      </c>
      <c r="BG97" s="92">
        <f>IF('Management and Hedging'!$G$13="yes",BH97+BI97,CQ97)</f>
        <v>7.8301486634907103E-2</v>
      </c>
      <c r="BH97" s="92">
        <f>HLOOKUP(BH$1,'Asset Returns'!$F$1:$ZY$109,ROW(),0)*'Management and Hedging'!$G$10</f>
        <v>1.5417780000000001E-2</v>
      </c>
      <c r="BI97" s="92">
        <f>HLOOKUP(BI$1,'Asset Returns'!$F$1:$ZY$109,ROW(),0)*'Management and Hedging'!$G$11</f>
        <v>6.2883706634907097E-2</v>
      </c>
      <c r="BJ97" s="92">
        <f>HLOOKUP(BJ$1,'AC4'!$F$1:$AC$109,ROW(),0)</f>
        <v>7.6188900000000004E-2</v>
      </c>
      <c r="BK97" s="92">
        <f>HLOOKUP(BK$1,'AC4'!$F$1:$AC$109,ROW(),0)</f>
        <v>7.7704633293633876E-2</v>
      </c>
      <c r="BL97" s="138">
        <f ca="1">'Management and Hedging'!$R$34</f>
        <v>2.5919346055080732</v>
      </c>
      <c r="BM97" s="138">
        <f ca="1">'Management and Hedging'!$R$36</f>
        <v>-2.1312105104673718</v>
      </c>
      <c r="BN97" s="138">
        <f>'Management and Hedging'!$R$38</f>
        <v>-1.1865814872722835</v>
      </c>
      <c r="BO97" s="138">
        <f>INDEX(LINEST(BJ37:BJ97,'AC2'!$F37:$J97,1,1),1,1)</f>
        <v>3.7028574693831096</v>
      </c>
      <c r="BP97" s="138">
        <f>INDEX(LINEST(BK37:BK97,'AC2'!$F37:$J97,1,1),1,1)</f>
        <v>-2.8029789613999725</v>
      </c>
      <c r="BQ97" s="138">
        <f>INDEX(LINEST(BC37:BC97,'AC2'!$F37:$J97,1,1),1,1)</f>
        <v>-1.5018116752433555</v>
      </c>
      <c r="BR97" s="138"/>
      <c r="BS97" s="138"/>
      <c r="BT97" s="138"/>
      <c r="BU97" s="138"/>
      <c r="BV97" s="138"/>
      <c r="BW97" s="138"/>
      <c r="BX97" s="138"/>
      <c r="BY97" s="138"/>
      <c r="BZ97" s="138"/>
      <c r="CA97" s="138"/>
      <c r="CB97" s="138"/>
      <c r="CC97" s="138"/>
      <c r="CD97" s="138"/>
      <c r="CE97" s="138"/>
      <c r="CF97" s="138"/>
      <c r="CG97" s="138"/>
      <c r="CH97" s="138"/>
      <c r="CI97" s="138"/>
      <c r="CJ97" s="138"/>
      <c r="CK97" s="343">
        <f>CK96*(1+BA97+'Risk Factors'!$J97)</f>
        <v>0.1886265910690646</v>
      </c>
      <c r="CL97" s="343">
        <f>CL96*(1+BB97+'Risk Factors'!$J97)</f>
        <v>1.0729000875319008</v>
      </c>
      <c r="CN97" s="343">
        <f t="shared" si="27"/>
        <v>0.14952247484631218</v>
      </c>
      <c r="CO97" s="343">
        <f t="shared" si="28"/>
        <v>0.85047752515368791</v>
      </c>
      <c r="CP97" s="418">
        <f t="shared" si="29"/>
        <v>1.2615266786009653</v>
      </c>
      <c r="CQ97" s="343">
        <f t="shared" si="31"/>
        <v>5.5773539109789771E-2</v>
      </c>
      <c r="CS97" s="92"/>
      <c r="CT97" s="260"/>
      <c r="CU97" s="260"/>
      <c r="CV97" s="260"/>
      <c r="CW97" s="260"/>
      <c r="CX97" s="260"/>
      <c r="CY97" s="260"/>
      <c r="CZ97" s="260"/>
      <c r="DB97" s="325"/>
      <c r="DC97" s="92"/>
      <c r="DD97" s="92"/>
      <c r="DE97" s="260"/>
      <c r="DF97" s="260"/>
      <c r="DG97" s="260"/>
      <c r="DH97" s="260"/>
      <c r="DI97" s="260"/>
    </row>
    <row r="98" spans="6:113">
      <c r="F98" s="421">
        <v>43131</v>
      </c>
      <c r="G98" s="92">
        <f>IF(Portfolios!$G$16="yes",SUM(T98:X98),AX98)</f>
        <v>2.5056545488845922E-2</v>
      </c>
      <c r="H98" s="138">
        <f>IF(IF(Portfolios!$J$10="no",'AC3'!Y98,'AC3'!AE98)=0,NA(),IF(Portfolios!$J$10="no",Y98,AE98))</f>
        <v>-0.95870980626116131</v>
      </c>
      <c r="I98" s="138">
        <f>IF(Portfolios!$J$11="no",NA(),IF(IF(Portfolios!$J$10="no",'AC3'!Z98,'AC3'!AF98)=0,NA(),IF(Portfolios!$J$10="no",Z98,AF98)))</f>
        <v>0.78170630127682306</v>
      </c>
      <c r="J98" s="138">
        <f>IF(Portfolios!$J$11="no",NA(),IF(IF(Portfolios!$J$10="no",'AC3'!AA98,'AC3'!AG98)=0,NA(),IF(Portfolios!$J$10="no",AA98,AG98)))</f>
        <v>0.41669213945583111</v>
      </c>
      <c r="K98" s="138">
        <f>IF(Portfolios!$J$11="no",NA(),IF(IF(Portfolios!$J$10="no",'AC3'!AB98,'AC3'!AH98)=0,NA(),IF(Portfolios!$J$10="no",AB98,AH98)))</f>
        <v>-2.8466060241722118</v>
      </c>
      <c r="L98" s="138">
        <f>IF(Portfolios!$J$11="no",NA(),IF(IF(Portfolios!$J$10="no",'AC3'!AC98,'AC3'!AI98)=0,NA(),IF(Portfolios!$J$10="no",AC98,AI98)))</f>
        <v>-0.98743727077009003</v>
      </c>
      <c r="M98" s="138">
        <f>IF(Portfolios!$J$11="no",NA(),IF(IF(Portfolios!$J$10="no",'AC3'!AD98,'AC3'!AJ98)=0,NA(),IF(Portfolios!$J$10="no",AD98,AJ98)))</f>
        <v>0.35831669074131761</v>
      </c>
      <c r="N98" s="92">
        <f>G98-'Risk Factors'!J98</f>
        <v>2.3956545488845921E-2</v>
      </c>
      <c r="O98" s="260">
        <f>HLOOKUP(O$1,'Asset Returns'!$F$1:$N$109,ROW(),0)-'Risk Factors'!$J98</f>
        <v>6.6876797971709874E-3</v>
      </c>
      <c r="P98" s="260">
        <f>HLOOKUP(P$1,'Asset Returns'!$F$1:$N$109,ROW(),0)-'Risk Factors'!$J98</f>
        <v>-7.2805426356589056E-2</v>
      </c>
      <c r="Q98" s="260">
        <f>HLOOKUP(Q$1,'Asset Returns'!$F$1:$N$109,ROW(),0)-'Risk Factors'!$J98</f>
        <v>-1.1180142475511922E-2</v>
      </c>
      <c r="R98" s="260">
        <f>HLOOKUP(R$1,'Asset Returns'!$F$1:$N$109,ROW(),0)-'Risk Factors'!$J98</f>
        <v>6.9136039147956393E-2</v>
      </c>
      <c r="S98" s="260">
        <f>HLOOKUP(S$1,'Asset Returns'!$F$1:$N$109,ROW(),0)-'Risk Factors'!$J98</f>
        <v>6.5907755715271951E-2</v>
      </c>
      <c r="T98" s="260">
        <f>HLOOKUP(T$1,'Asset Returns'!$F$1:$N$109,ROW(),0)*Portfolios!$G$10</f>
        <v>7.7876797971709877E-4</v>
      </c>
      <c r="U98" s="260">
        <f>HLOOKUP(U$1,'Asset Returns'!$F$1:$N$109,ROW(),0)*Portfolios!$G$11</f>
        <v>-7.170542635658906E-3</v>
      </c>
      <c r="V98" s="260">
        <f>HLOOKUP(V$1,'Asset Returns'!$F$1:$N$109,ROW(),0)*Portfolios!$G$12</f>
        <v>-3.0240427426535764E-3</v>
      </c>
      <c r="W98" s="260">
        <f>HLOOKUP(W$1,'Asset Returns'!$F$1:$N$109,ROW(),0)*Portfolios!$G$13</f>
        <v>2.1070811744386918E-2</v>
      </c>
      <c r="X98" s="260">
        <f>HLOOKUP(X$1,'Asset Returns'!$F$1:$N$109,ROW(),0)*Portfolios!$G$14</f>
        <v>1.3401551143054387E-2</v>
      </c>
      <c r="Y98" s="138">
        <f>Portfolios!$R$34</f>
        <v>-0.68211369708646341</v>
      </c>
      <c r="Z98" s="138">
        <f>Portfolios!$P$11</f>
        <v>0.9378377404978776</v>
      </c>
      <c r="AA98" s="138">
        <f>Portfolios!$P$12</f>
        <v>0.64097224418739052</v>
      </c>
      <c r="AB98" s="138">
        <f>Portfolios!$P$13</f>
        <v>-2.1312105104673718</v>
      </c>
      <c r="AC98" s="138">
        <f>Portfolios!$P$14</f>
        <v>-0.78557102570241866</v>
      </c>
      <c r="AD98" s="138">
        <f>Portfolios!$P$15</f>
        <v>0.17519882647973573</v>
      </c>
      <c r="AE98" s="183">
        <f>INDEX(LINEST(N38:N98,'AC2'!$F38:$J98,1,1),1,1)</f>
        <v>-0.95870980626116131</v>
      </c>
      <c r="AF98" s="183">
        <f>INDEX(LINEST(O38:O98,'AC2'!$F38:$J98,1,1),1,1)</f>
        <v>0.78170630127682306</v>
      </c>
      <c r="AG98" s="183">
        <f>INDEX(LINEST(P38:P98,'AC2'!$F38:$J98,1,1),1,1)</f>
        <v>0.41669213945583111</v>
      </c>
      <c r="AH98" s="183">
        <f>INDEX(LINEST(Q38:Q98,'AC2'!$F38:$J98,1,1),1,1)</f>
        <v>-2.8466060241722118</v>
      </c>
      <c r="AI98" s="183">
        <f>INDEX(LINEST(R38:R98,'AC2'!$F38:$J98,1,1),1,1)</f>
        <v>-0.98743727077009003</v>
      </c>
      <c r="AJ98" s="183">
        <f>INDEX(LINEST(S38:S98,'AC2'!$F38:$J98,1,1),1,1)</f>
        <v>0.35831669074131761</v>
      </c>
      <c r="AL98" s="343">
        <f>AL97*(1+O98+'Risk Factors'!$J98)</f>
        <v>0.1099668289653688</v>
      </c>
      <c r="AM98" s="343">
        <f>AM97*(1+P98+'Risk Factors'!$J98)</f>
        <v>0.19837042867167418</v>
      </c>
      <c r="AN98" s="343">
        <f>AN97*(1+Q98+'Risk Factors'!$J98)</f>
        <v>0.34892906159507608</v>
      </c>
      <c r="AO98" s="343">
        <f>AO97*(1+R98+'Risk Factors'!$J98)</f>
        <v>0.59656124330765359</v>
      </c>
      <c r="AP98" s="343">
        <f>AP97*(1+S98+'Risk Factors'!$J98)</f>
        <v>0.30526826290827913</v>
      </c>
      <c r="AR98" s="343">
        <f t="shared" ref="AR98:AR109" si="32">AL98/SUM($AL98:$AP98)</f>
        <v>7.0532437564423997E-2</v>
      </c>
      <c r="AS98" s="343">
        <f t="shared" ref="AS98:AS109" si="33">AM98/SUM($AL98:$AP98)</f>
        <v>0.12723427606809648</v>
      </c>
      <c r="AT98" s="343">
        <f t="shared" ref="AT98:AT109" si="34">AN98/SUM($AL98:$AP98)</f>
        <v>0.22380219092357656</v>
      </c>
      <c r="AU98" s="343">
        <f t="shared" ref="AU98:AU109" si="35">AO98/SUM($AL98:$AP98)</f>
        <v>0.38263282703371632</v>
      </c>
      <c r="AV98" s="343">
        <f t="shared" ref="AV98:AV109" si="36">AP98/SUM($AL98:$AP98)</f>
        <v>0.19579826841018663</v>
      </c>
      <c r="AW98" s="418">
        <f t="shared" ref="AW98:AW109" si="37">SUM(AL98:AP98)</f>
        <v>1.5590958254480518</v>
      </c>
      <c r="AX98" s="343">
        <f t="shared" si="30"/>
        <v>2.6530669885699965E-2</v>
      </c>
      <c r="AZ98" s="421">
        <v>43131</v>
      </c>
      <c r="BA98" s="92">
        <f>HLOOKUP(BA$1,'AC4'!$F$1:$AC$109,ROW(),0)*'Management and Hedging'!$G$10</f>
        <v>2.7650800000000001E-3</v>
      </c>
      <c r="BB98" s="92">
        <f>HLOOKUP(BB$1,'AC4'!$F$1:$AC$109,ROW(),0)*'Management and Hedging'!$G$11</f>
        <v>-8.9441139804095383E-3</v>
      </c>
      <c r="BC98" s="92">
        <f>IF('Management and Hedging'!$G$13="yes",BA98+BB98,CQ98)</f>
        <v>-6.1790339804095387E-3</v>
      </c>
      <c r="BD98" s="138">
        <f>IF(IF('Management and Hedging'!$J$10="no",BL98,BO98)=0,NA(),IF('Management and Hedging'!$J$10="no",BL98,BO98))</f>
        <v>3.6790525219381385</v>
      </c>
      <c r="BE98" s="138">
        <f>IF(IF('Management and Hedging'!$J$10="no",BM98,BP98)=0,NA(),IF('Management and Hedging'!$J$10="no",BM98,BP98))</f>
        <v>-2.8466060241722118</v>
      </c>
      <c r="BF98" s="138">
        <f>IF(IF('Management and Hedging'!$J$10="no",BN98,BQ98)=0,NA(),IF('Management and Hedging'!$J$10="no",BN98,BQ98))</f>
        <v>-1.541474314950142</v>
      </c>
      <c r="BG98" s="92">
        <f>IF('Management and Hedging'!$G$13="yes",BH98+BI98,CQ98)</f>
        <v>-5.0790339804095376E-3</v>
      </c>
      <c r="BH98" s="92">
        <f>HLOOKUP(BH$1,'Asset Returns'!$F$1:$ZY$109,ROW(),0)*'Management and Hedging'!$G$10</f>
        <v>2.9850800000000002E-3</v>
      </c>
      <c r="BI98" s="92">
        <f>HLOOKUP(BI$1,'Asset Returns'!$F$1:$ZY$109,ROW(),0)*'Management and Hedging'!$G$11</f>
        <v>-8.0641139804095378E-3</v>
      </c>
      <c r="BJ98" s="92">
        <f>HLOOKUP(BJ$1,'AC4'!$F$1:$AC$109,ROW(),0)</f>
        <v>1.38254E-2</v>
      </c>
      <c r="BK98" s="92">
        <f>HLOOKUP(BK$1,'AC4'!$F$1:$AC$109,ROW(),0)</f>
        <v>-1.1180142475511922E-2</v>
      </c>
      <c r="BL98" s="138">
        <f ca="1">'Management and Hedging'!$R$34</f>
        <v>2.5919346055080732</v>
      </c>
      <c r="BM98" s="138">
        <f ca="1">'Management and Hedging'!$R$36</f>
        <v>-2.1312105104673718</v>
      </c>
      <c r="BN98" s="138">
        <f>'Management and Hedging'!$R$38</f>
        <v>-1.1865814872722835</v>
      </c>
      <c r="BO98" s="138">
        <f>INDEX(LINEST(BJ38:BJ98,'AC2'!$F38:$J98,1,1),1,1)</f>
        <v>3.6790525219381385</v>
      </c>
      <c r="BP98" s="138">
        <f>INDEX(LINEST(BK38:BK98,'AC2'!$F38:$J98,1,1),1,1)</f>
        <v>-2.8466060241722118</v>
      </c>
      <c r="BQ98" s="138">
        <f>INDEX(LINEST(BC38:BC98,'AC2'!$F38:$J98,1,1),1,1)</f>
        <v>-1.541474314950142</v>
      </c>
      <c r="BR98" s="138"/>
      <c r="BS98" s="138"/>
      <c r="BT98" s="138"/>
      <c r="BU98" s="138"/>
      <c r="BV98" s="138"/>
      <c r="BW98" s="138"/>
      <c r="BX98" s="138"/>
      <c r="BY98" s="138"/>
      <c r="BZ98" s="138"/>
      <c r="CA98" s="138"/>
      <c r="CB98" s="138"/>
      <c r="CC98" s="138"/>
      <c r="CD98" s="138"/>
      <c r="CE98" s="138"/>
      <c r="CF98" s="138"/>
      <c r="CG98" s="138"/>
      <c r="CH98" s="138"/>
      <c r="CI98" s="138"/>
      <c r="CJ98" s="138"/>
      <c r="CK98" s="343">
        <f>CK97*(1+BA98+'Risk Factors'!$J98)</f>
        <v>0.18935564793367385</v>
      </c>
      <c r="CL98" s="343">
        <f>CL97*(1+BB98+'Risk Factors'!$J98)</f>
        <v>1.0644841369557092</v>
      </c>
      <c r="CN98" s="343">
        <f t="shared" si="27"/>
        <v>0.15102060902492362</v>
      </c>
      <c r="CO98" s="343">
        <f t="shared" si="28"/>
        <v>0.84897939097507646</v>
      </c>
      <c r="CP98" s="418">
        <f t="shared" si="29"/>
        <v>1.253839784889383</v>
      </c>
      <c r="CQ98" s="343">
        <f t="shared" si="31"/>
        <v>-6.0933263180031894E-3</v>
      </c>
      <c r="CS98" s="92"/>
      <c r="CT98" s="260"/>
      <c r="CU98" s="260"/>
      <c r="CV98" s="260"/>
      <c r="CW98" s="260"/>
      <c r="CX98" s="260"/>
      <c r="CY98" s="260"/>
      <c r="CZ98" s="260"/>
      <c r="DB98" s="325"/>
      <c r="DC98" s="92"/>
      <c r="DD98" s="92"/>
      <c r="DE98" s="260"/>
      <c r="DF98" s="260"/>
      <c r="DG98" s="260"/>
      <c r="DH98" s="260"/>
      <c r="DI98" s="260"/>
    </row>
    <row r="99" spans="6:113">
      <c r="F99" s="421">
        <v>43159</v>
      </c>
      <c r="G99" s="92">
        <f>IF(Portfolios!$G$16="yes",SUM(T99:X99),AX99)</f>
        <v>-8.7012496762138951E-3</v>
      </c>
      <c r="H99" s="138">
        <f>IF(IF(Portfolios!$J$10="no",'AC3'!Y99,'AC3'!AE99)=0,NA(),IF(Portfolios!$J$10="no",Y99,AE99))</f>
        <v>-1.0801575872043094</v>
      </c>
      <c r="I99" s="138">
        <f>IF(Portfolios!$J$11="no",NA(),IF(IF(Portfolios!$J$10="no",'AC3'!Z99,'AC3'!AF99)=0,NA(),IF(Portfolios!$J$10="no",Z99,AF99)))</f>
        <v>0.81718638691581025</v>
      </c>
      <c r="J99" s="138">
        <f>IF(Portfolios!$J$11="no",NA(),IF(IF(Portfolios!$J$10="no",'AC3'!AA99,'AC3'!AG99)=0,NA(),IF(Portfolios!$J$10="no",AA99,AG99)))</f>
        <v>0.16341500586227733</v>
      </c>
      <c r="K99" s="138">
        <f>IF(Portfolios!$J$11="no",NA(),IF(IF(Portfolios!$J$10="no",'AC3'!AB99,'AC3'!AH99)=0,NA(),IF(Portfolios!$J$10="no",AB99,AH99)))</f>
        <v>-3.1102397187208792</v>
      </c>
      <c r="L99" s="138">
        <f>IF(Portfolios!$J$11="no",NA(),IF(IF(Portfolios!$J$10="no",'AC3'!AC99,'AC3'!AI99)=0,NA(),IF(Portfolios!$J$10="no",AC99,AI99)))</f>
        <v>-1.0965204918420957</v>
      </c>
      <c r="M99" s="138">
        <f>IF(Portfolios!$J$11="no",NA(),IF(IF(Portfolios!$J$10="no",'AC3'!AD99,'AC3'!AJ99)=0,NA(),IF(Portfolios!$J$10="no",AD99,AJ99)))</f>
        <v>0.41905168343387866</v>
      </c>
      <c r="N99" s="92">
        <f>G99-'Risk Factors'!J99</f>
        <v>-9.8012496762138954E-3</v>
      </c>
      <c r="O99" s="260">
        <f>HLOOKUP(O$1,'Asset Returns'!$F$1:$N$109,ROW(),0)-'Risk Factors'!$J99</f>
        <v>-6.8336956492772064E-2</v>
      </c>
      <c r="P99" s="260">
        <f>HLOOKUP(P$1,'Asset Returns'!$F$1:$N$109,ROW(),0)-'Risk Factors'!$J99</f>
        <v>-9.7133402922755754E-2</v>
      </c>
      <c r="Q99" s="260">
        <f>HLOOKUP(Q$1,'Asset Returns'!$F$1:$N$109,ROW(),0)-'Risk Factors'!$J99</f>
        <v>6.0320552677029286E-2</v>
      </c>
      <c r="R99" s="260">
        <f>HLOOKUP(R$1,'Asset Returns'!$F$1:$N$109,ROW(),0)-'Risk Factors'!$J99</f>
        <v>-1.1499856553702791E-2</v>
      </c>
      <c r="S99" s="260">
        <f>HLOOKUP(S$1,'Asset Returns'!$F$1:$N$109,ROW(),0)-'Risk Factors'!$J99</f>
        <v>-3.9502112858295309E-2</v>
      </c>
      <c r="T99" s="260">
        <f>HLOOKUP(T$1,'Asset Returns'!$F$1:$N$109,ROW(),0)*Portfolios!$G$10</f>
        <v>-6.7236956492772067E-3</v>
      </c>
      <c r="U99" s="260">
        <f>HLOOKUP(U$1,'Asset Returns'!$F$1:$N$109,ROW(),0)*Portfolios!$G$11</f>
        <v>-9.6033402922755754E-3</v>
      </c>
      <c r="V99" s="260">
        <f>HLOOKUP(V$1,'Asset Returns'!$F$1:$N$109,ROW(),0)*Portfolios!$G$12</f>
        <v>1.8426165803108786E-2</v>
      </c>
      <c r="W99" s="260">
        <f>HLOOKUP(W$1,'Asset Returns'!$F$1:$N$109,ROW(),0)*Portfolios!$G$13</f>
        <v>-3.1199569661108373E-3</v>
      </c>
      <c r="X99" s="260">
        <f>HLOOKUP(X$1,'Asset Returns'!$F$1:$N$109,ROW(),0)*Portfolios!$G$14</f>
        <v>-7.6804225716590605E-3</v>
      </c>
      <c r="Y99" s="138">
        <f>Portfolios!$R$34</f>
        <v>-0.68211369708646341</v>
      </c>
      <c r="Z99" s="138">
        <f>Portfolios!$P$11</f>
        <v>0.9378377404978776</v>
      </c>
      <c r="AA99" s="138">
        <f>Portfolios!$P$12</f>
        <v>0.64097224418739052</v>
      </c>
      <c r="AB99" s="138">
        <f>Portfolios!$P$13</f>
        <v>-2.1312105104673718</v>
      </c>
      <c r="AC99" s="138">
        <f>Portfolios!$P$14</f>
        <v>-0.78557102570241866</v>
      </c>
      <c r="AD99" s="138">
        <f>Portfolios!$P$15</f>
        <v>0.17519882647973573</v>
      </c>
      <c r="AE99" s="183">
        <f>INDEX(LINEST(N39:N99,'AC2'!$F39:$J99,1,1),1,1)</f>
        <v>-1.0801575872043094</v>
      </c>
      <c r="AF99" s="183">
        <f>INDEX(LINEST(O39:O99,'AC2'!$F39:$J99,1,1),1,1)</f>
        <v>0.81718638691581025</v>
      </c>
      <c r="AG99" s="183">
        <f>INDEX(LINEST(P39:P99,'AC2'!$F39:$J99,1,1),1,1)</f>
        <v>0.16341500586227733</v>
      </c>
      <c r="AH99" s="183">
        <f>INDEX(LINEST(Q39:Q99,'AC2'!$F39:$J99,1,1),1,1)</f>
        <v>-3.1102397187208792</v>
      </c>
      <c r="AI99" s="183">
        <f>INDEX(LINEST(R39:R99,'AC2'!$F39:$J99,1,1),1,1)</f>
        <v>-1.0965204918420957</v>
      </c>
      <c r="AJ99" s="183">
        <f>INDEX(LINEST(S39:S99,'AC2'!$F39:$J99,1,1),1,1)</f>
        <v>0.41905168343387866</v>
      </c>
      <c r="AL99" s="343">
        <f>AL98*(1+O99+'Risk Factors'!$J99)</f>
        <v>0.1025729940705762</v>
      </c>
      <c r="AM99" s="343">
        <f>AM98*(1+P99+'Risk Factors'!$J99)</f>
        <v>0.17932024136708752</v>
      </c>
      <c r="AN99" s="343">
        <f>AN98*(1+Q99+'Risk Factors'!$J99)</f>
        <v>0.37036047740332284</v>
      </c>
      <c r="AO99" s="343">
        <f>AO98*(1+R99+'Risk Factors'!$J99)</f>
        <v>0.59035709195175545</v>
      </c>
      <c r="AP99" s="343">
        <f>AP98*(1+S99+'Risk Factors'!$J99)</f>
        <v>0.29354531662401961</v>
      </c>
      <c r="AR99" s="343">
        <f t="shared" si="32"/>
        <v>6.6772506153850733E-2</v>
      </c>
      <c r="AS99" s="343">
        <f t="shared" si="33"/>
        <v>0.11673308387542314</v>
      </c>
      <c r="AT99" s="343">
        <f t="shared" si="34"/>
        <v>0.24109559714656337</v>
      </c>
      <c r="AU99" s="343">
        <f t="shared" si="35"/>
        <v>0.38430800341262361</v>
      </c>
      <c r="AV99" s="343">
        <f t="shared" si="36"/>
        <v>0.19109080941153916</v>
      </c>
      <c r="AW99" s="418">
        <f t="shared" si="37"/>
        <v>1.5361561214167616</v>
      </c>
      <c r="AX99" s="343">
        <f t="shared" si="30"/>
        <v>-1.4713466393060148E-2</v>
      </c>
      <c r="AZ99" s="421">
        <v>43159</v>
      </c>
      <c r="BA99" s="92">
        <f>HLOOKUP(BA$1,'AC4'!$F$1:$AC$109,ROW(),0)*'Management and Hedging'!$G$10</f>
        <v>-2.6690579999999998E-2</v>
      </c>
      <c r="BB99" s="92">
        <f>HLOOKUP(BB$1,'AC4'!$F$1:$AC$109,ROW(),0)*'Management and Hedging'!$G$11</f>
        <v>4.8256442141623432E-2</v>
      </c>
      <c r="BC99" s="92">
        <f>IF('Management and Hedging'!$G$13="yes",BA99+BB99,CQ99)</f>
        <v>2.1565862141623433E-2</v>
      </c>
      <c r="BD99" s="138">
        <f>IF(IF('Management and Hedging'!$J$10="no",BL99,BO99)=0,NA(),IF('Management and Hedging'!$J$10="no",BL99,BO99))</f>
        <v>3.672797231392853</v>
      </c>
      <c r="BE99" s="138">
        <f>IF(IF('Management and Hedging'!$J$10="no",BM99,BP99)=0,NA(),IF('Management and Hedging'!$J$10="no",BM99,BP99))</f>
        <v>-3.1102397187208792</v>
      </c>
      <c r="BF99" s="138">
        <f>IF(IF('Management and Hedging'!$J$10="no",BN99,BQ99)=0,NA(),IF('Management and Hedging'!$J$10="no",BN99,BQ99))</f>
        <v>-1.7536323286981328</v>
      </c>
      <c r="BG99" s="92">
        <f>IF('Management and Hedging'!$G$13="yes",BH99+BI99,CQ99)</f>
        <v>2.266586214162343E-2</v>
      </c>
      <c r="BH99" s="92">
        <f>HLOOKUP(BH$1,'Asset Returns'!$F$1:$ZY$109,ROW(),0)*'Management and Hedging'!$G$10</f>
        <v>-2.647058E-2</v>
      </c>
      <c r="BI99" s="92">
        <f>HLOOKUP(BI$1,'Asset Returns'!$F$1:$ZY$109,ROW(),0)*'Management and Hedging'!$G$11</f>
        <v>4.9136442141623431E-2</v>
      </c>
      <c r="BJ99" s="92">
        <f>HLOOKUP(BJ$1,'AC4'!$F$1:$AC$109,ROW(),0)</f>
        <v>-0.13345289999999999</v>
      </c>
      <c r="BK99" s="92">
        <f>HLOOKUP(BK$1,'AC4'!$F$1:$AC$109,ROW(),0)</f>
        <v>6.0320552677029286E-2</v>
      </c>
      <c r="BL99" s="138">
        <f ca="1">'Management and Hedging'!$R$34</f>
        <v>2.5919346055080732</v>
      </c>
      <c r="BM99" s="138">
        <f ca="1">'Management and Hedging'!$R$36</f>
        <v>-2.1312105104673718</v>
      </c>
      <c r="BN99" s="138">
        <f>'Management and Hedging'!$R$38</f>
        <v>-1.1865814872722835</v>
      </c>
      <c r="BO99" s="138">
        <f>INDEX(LINEST(BJ39:BJ99,'AC2'!$F39:$J99,1,1),1,1)</f>
        <v>3.672797231392853</v>
      </c>
      <c r="BP99" s="138">
        <f>INDEX(LINEST(BK39:BK99,'AC2'!$F39:$J99,1,1),1,1)</f>
        <v>-3.1102397187208792</v>
      </c>
      <c r="BQ99" s="138">
        <f>INDEX(LINEST(BC39:BC99,'AC2'!$F39:$J99,1,1),1,1)</f>
        <v>-1.7536323286981328</v>
      </c>
      <c r="BR99" s="138"/>
      <c r="BS99" s="138"/>
      <c r="BT99" s="138"/>
      <c r="BU99" s="138"/>
      <c r="BV99" s="138"/>
      <c r="BW99" s="138"/>
      <c r="BX99" s="138"/>
      <c r="BY99" s="138"/>
      <c r="BZ99" s="138"/>
      <c r="CA99" s="138"/>
      <c r="CB99" s="138"/>
      <c r="CC99" s="138"/>
      <c r="CD99" s="138"/>
      <c r="CE99" s="138"/>
      <c r="CF99" s="138"/>
      <c r="CG99" s="138"/>
      <c r="CH99" s="138"/>
      <c r="CI99" s="138"/>
      <c r="CJ99" s="138"/>
      <c r="CK99" s="343">
        <f>CK98*(1+BA99+'Risk Factors'!$J99)</f>
        <v>0.18450992707677533</v>
      </c>
      <c r="CL99" s="343">
        <f>CL98*(1+BB99+'Risk Factors'!$J99)</f>
        <v>1.1170232866720398</v>
      </c>
      <c r="CN99" s="343">
        <f t="shared" si="27"/>
        <v>0.1417635179246253</v>
      </c>
      <c r="CO99" s="343">
        <f t="shared" si="28"/>
        <v>0.85823648207537462</v>
      </c>
      <c r="CP99" s="418">
        <f t="shared" si="29"/>
        <v>1.3015332137488151</v>
      </c>
      <c r="CQ99" s="343">
        <f t="shared" si="31"/>
        <v>3.8037897213191174E-2</v>
      </c>
      <c r="CS99" s="92"/>
      <c r="CT99" s="260"/>
      <c r="CU99" s="260"/>
      <c r="CV99" s="260"/>
      <c r="CW99" s="260"/>
      <c r="CX99" s="260"/>
      <c r="CY99" s="260"/>
      <c r="CZ99" s="260"/>
      <c r="DB99" s="325"/>
      <c r="DC99" s="92"/>
      <c r="DD99" s="92"/>
      <c r="DE99" s="260"/>
      <c r="DF99" s="260"/>
      <c r="DG99" s="260"/>
      <c r="DH99" s="260"/>
      <c r="DI99" s="260"/>
    </row>
    <row r="100" spans="6:113">
      <c r="F100" s="421">
        <v>43190</v>
      </c>
      <c r="G100" s="92">
        <f>IF(Portfolios!$G$16="yes",SUM(T100:X100),AX100)</f>
        <v>-3.0453719043066239E-2</v>
      </c>
      <c r="H100" s="138">
        <f>IF(IF(Portfolios!$J$10="no",'AC3'!Y100,'AC3'!AE100)=0,NA(),IF(Portfolios!$J$10="no",Y100,AE100))</f>
        <v>-1.0795785513982747</v>
      </c>
      <c r="I100" s="138">
        <f>IF(Portfolios!$J$11="no",NA(),IF(IF(Portfolios!$J$10="no",'AC3'!Z100,'AC3'!AF100)=0,NA(),IF(Portfolios!$J$10="no",Z100,AF100)))</f>
        <v>0.85865678109323507</v>
      </c>
      <c r="J100" s="138">
        <f>IF(Portfolios!$J$11="no",NA(),IF(IF(Portfolios!$J$10="no",'AC3'!AA100,'AC3'!AG100)=0,NA(),IF(Portfolios!$J$10="no",AA100,AG100)))</f>
        <v>0.11867075876854639</v>
      </c>
      <c r="K100" s="138">
        <f>IF(Portfolios!$J$11="no",NA(),IF(IF(Portfolios!$J$10="no",'AC3'!AB100,'AC3'!AH100)=0,NA(),IF(Portfolios!$J$10="no",AB100,AH100)))</f>
        <v>-3.106091904025758</v>
      </c>
      <c r="L100" s="138">
        <f>IF(Portfolios!$J$11="no",NA(),IF(IF(Portfolios!$J$10="no",'AC3'!AC100,'AC3'!AI100)=0,NA(),IF(Portfolios!$J$10="no",AC100,AI100)))</f>
        <v>-1.0972664880404446</v>
      </c>
      <c r="M100" s="138">
        <f>IF(Portfolios!$J$11="no",NA(),IF(IF(Portfolios!$J$10="no",'AC3'!AD100,'AC3'!AJ100)=0,NA(),IF(Portfolios!$J$10="no",AD100,AJ100)))</f>
        <v>0.41848106117703732</v>
      </c>
      <c r="N100" s="92">
        <f>G100-'Risk Factors'!J100</f>
        <v>-3.1653719043066242E-2</v>
      </c>
      <c r="O100" s="260">
        <f>HLOOKUP(O$1,'Asset Returns'!$F$1:$N$109,ROW(),0)-'Risk Factors'!$J100</f>
        <v>2.5693246689100536E-2</v>
      </c>
      <c r="P100" s="260">
        <f>HLOOKUP(P$1,'Asset Returns'!$F$1:$N$109,ROW(),0)-'Risk Factors'!$J100</f>
        <v>-0.11862760703499733</v>
      </c>
      <c r="Q100" s="260">
        <f>HLOOKUP(Q$1,'Asset Returns'!$F$1:$N$109,ROW(),0)-'Risk Factors'!$J100</f>
        <v>-2.5302511949557703E-2</v>
      </c>
      <c r="R100" s="260">
        <f>HLOOKUP(R$1,'Asset Returns'!$F$1:$N$109,ROW(),0)-'Risk Factors'!$J100</f>
        <v>-3.8163217974270712E-2</v>
      </c>
      <c r="S100" s="260">
        <f>HLOOKUP(S$1,'Asset Returns'!$F$1:$N$109,ROW(),0)-'Risk Factors'!$J100</f>
        <v>-1.6602820156640184E-2</v>
      </c>
      <c r="T100" s="260">
        <f>HLOOKUP(T$1,'Asset Returns'!$F$1:$N$109,ROW(),0)*Portfolios!$G$10</f>
        <v>2.689324668910054E-3</v>
      </c>
      <c r="U100" s="260">
        <f>HLOOKUP(U$1,'Asset Returns'!$F$1:$N$109,ROW(),0)*Portfolios!$G$11</f>
        <v>-1.1742760703499734E-2</v>
      </c>
      <c r="V100" s="260">
        <f>HLOOKUP(V$1,'Asset Returns'!$F$1:$N$109,ROW(),0)*Portfolios!$G$12</f>
        <v>-7.2307535848673103E-3</v>
      </c>
      <c r="W100" s="260">
        <f>HLOOKUP(W$1,'Asset Returns'!$F$1:$N$109,ROW(),0)*Portfolios!$G$13</f>
        <v>-1.1088965392281214E-2</v>
      </c>
      <c r="X100" s="260">
        <f>HLOOKUP(X$1,'Asset Returns'!$F$1:$N$109,ROW(),0)*Portfolios!$G$14</f>
        <v>-3.0805640313280361E-3</v>
      </c>
      <c r="Y100" s="138">
        <f>Portfolios!$R$34</f>
        <v>-0.68211369708646341</v>
      </c>
      <c r="Z100" s="138">
        <f>Portfolios!$P$11</f>
        <v>0.9378377404978776</v>
      </c>
      <c r="AA100" s="138">
        <f>Portfolios!$P$12</f>
        <v>0.64097224418739052</v>
      </c>
      <c r="AB100" s="138">
        <f>Portfolios!$P$13</f>
        <v>-2.1312105104673718</v>
      </c>
      <c r="AC100" s="138">
        <f>Portfolios!$P$14</f>
        <v>-0.78557102570241866</v>
      </c>
      <c r="AD100" s="138">
        <f>Portfolios!$P$15</f>
        <v>0.17519882647973573</v>
      </c>
      <c r="AE100" s="183">
        <f>INDEX(LINEST(N40:N100,'AC2'!$F40:$J100,1,1),1,1)</f>
        <v>-1.0795785513982747</v>
      </c>
      <c r="AF100" s="183">
        <f>INDEX(LINEST(O40:O100,'AC2'!$F40:$J100,1,1),1,1)</f>
        <v>0.85865678109323507</v>
      </c>
      <c r="AG100" s="183">
        <f>INDEX(LINEST(P40:P100,'AC2'!$F40:$J100,1,1),1,1)</f>
        <v>0.11867075876854639</v>
      </c>
      <c r="AH100" s="183">
        <f>INDEX(LINEST(Q40:Q100,'AC2'!$F40:$J100,1,1),1,1)</f>
        <v>-3.106091904025758</v>
      </c>
      <c r="AI100" s="183">
        <f>INDEX(LINEST(R40:R100,'AC2'!$F40:$J100,1,1),1,1)</f>
        <v>-1.0972664880404446</v>
      </c>
      <c r="AJ100" s="183">
        <f>INDEX(LINEST(S40:S100,'AC2'!$F40:$J100,1,1),1,1)</f>
        <v>0.41848106117703732</v>
      </c>
      <c r="AL100" s="343">
        <f>AL99*(1+O100+'Risk Factors'!$J100)</f>
        <v>0.10533151490375585</v>
      </c>
      <c r="AM100" s="343">
        <f>AM99*(1+P100+'Risk Factors'!$J100)</f>
        <v>0.15826309453041229</v>
      </c>
      <c r="AN100" s="343">
        <f>AN99*(1+Q100+'Risk Factors'!$J100)</f>
        <v>0.36143385957106533</v>
      </c>
      <c r="AO100" s="343">
        <f>AO99*(1+R100+'Risk Factors'!$J100)</f>
        <v>0.56853559407928611</v>
      </c>
      <c r="AP100" s="343">
        <f>AP99*(1+S100+'Risk Factors'!$J100)</f>
        <v>0.28902389090423586</v>
      </c>
      <c r="AR100" s="343">
        <f t="shared" si="32"/>
        <v>7.104571072520309E-2</v>
      </c>
      <c r="AS100" s="343">
        <f t="shared" si="33"/>
        <v>0.10674786214512343</v>
      </c>
      <c r="AT100" s="343">
        <f t="shared" si="34"/>
        <v>0.24378577918339578</v>
      </c>
      <c r="AU100" s="343">
        <f t="shared" si="35"/>
        <v>0.38347512034594478</v>
      </c>
      <c r="AV100" s="343">
        <f t="shared" si="36"/>
        <v>0.19494552760033276</v>
      </c>
      <c r="AW100" s="418">
        <f t="shared" si="37"/>
        <v>1.4825879539887556</v>
      </c>
      <c r="AX100" s="343">
        <f t="shared" si="30"/>
        <v>-3.4871564602822591E-2</v>
      </c>
      <c r="AZ100" s="421">
        <v>43190</v>
      </c>
      <c r="BA100" s="92">
        <f>HLOOKUP(BA$1,'AC4'!$F$1:$AC$109,ROW(),0)*'Management and Hedging'!$G$10</f>
        <v>7.9924400000000017E-3</v>
      </c>
      <c r="BB100" s="92">
        <f>HLOOKUP(BB$1,'AC4'!$F$1:$AC$109,ROW(),0)*'Management and Hedging'!$G$11</f>
        <v>-2.0242009559646165E-2</v>
      </c>
      <c r="BC100" s="92">
        <f>IF('Management and Hedging'!$G$13="yes",BA100+BB100,CQ100)</f>
        <v>-1.2249569559646163E-2</v>
      </c>
      <c r="BD100" s="138">
        <f>IF(IF('Management and Hedging'!$J$10="no",BL100,BO100)=0,NA(),IF('Management and Hedging'!$J$10="no",BL100,BO100))</f>
        <v>3.660885436627157</v>
      </c>
      <c r="BE100" s="138">
        <f>IF(IF('Management and Hedging'!$J$10="no",BM100,BP100)=0,NA(),IF('Management and Hedging'!$J$10="no",BM100,BP100))</f>
        <v>-3.106091904025758</v>
      </c>
      <c r="BF100" s="138">
        <f>IF(IF('Management and Hedging'!$J$10="no",BN100,BQ100)=0,NA(),IF('Management and Hedging'!$J$10="no",BN100,BQ100))</f>
        <v>-1.752696435895174</v>
      </c>
      <c r="BG100" s="92">
        <f>IF('Management and Hedging'!$G$13="yes",BH100+BI100,CQ100)</f>
        <v>-1.1049569559646165E-2</v>
      </c>
      <c r="BH100" s="92">
        <f>HLOOKUP(BH$1,'Asset Returns'!$F$1:$ZY$109,ROW(),0)*'Management and Hedging'!$G$10</f>
        <v>8.2324400000000006E-3</v>
      </c>
      <c r="BI100" s="92">
        <f>HLOOKUP(BI$1,'Asset Returns'!$F$1:$ZY$109,ROW(),0)*'Management and Hedging'!$G$11</f>
        <v>-1.9282009559646165E-2</v>
      </c>
      <c r="BJ100" s="92">
        <f>HLOOKUP(BJ$1,'AC4'!$F$1:$AC$109,ROW(),0)</f>
        <v>3.9962200000000003E-2</v>
      </c>
      <c r="BK100" s="92">
        <f>HLOOKUP(BK$1,'AC4'!$F$1:$AC$109,ROW(),0)</f>
        <v>-2.5302511949557703E-2</v>
      </c>
      <c r="BL100" s="138">
        <f ca="1">'Management and Hedging'!$R$34</f>
        <v>2.5919346055080732</v>
      </c>
      <c r="BM100" s="138">
        <f ca="1">'Management and Hedging'!$R$36</f>
        <v>-2.1312105104673718</v>
      </c>
      <c r="BN100" s="138">
        <f>'Management and Hedging'!$R$38</f>
        <v>-1.1865814872722835</v>
      </c>
      <c r="BO100" s="138">
        <f>INDEX(LINEST(BJ40:BJ100,'AC2'!$F40:$J100,1,1),1,1)</f>
        <v>3.660885436627157</v>
      </c>
      <c r="BP100" s="138">
        <f>INDEX(LINEST(BK40:BK100,'AC2'!$F40:$J100,1,1),1,1)</f>
        <v>-3.106091904025758</v>
      </c>
      <c r="BQ100" s="138">
        <f>INDEX(LINEST(BC40:BC100,'AC2'!$F40:$J100,1,1),1,1)</f>
        <v>-1.752696435895174</v>
      </c>
      <c r="BR100" s="138"/>
      <c r="BS100" s="138"/>
      <c r="BT100" s="138"/>
      <c r="BU100" s="138"/>
      <c r="BV100" s="138"/>
      <c r="BW100" s="138"/>
      <c r="BX100" s="138"/>
      <c r="BY100" s="138"/>
      <c r="BZ100" s="138"/>
      <c r="CA100" s="138"/>
      <c r="CB100" s="138"/>
      <c r="CC100" s="138"/>
      <c r="CD100" s="138"/>
      <c r="CE100" s="138"/>
      <c r="CF100" s="138"/>
      <c r="CG100" s="138"/>
      <c r="CH100" s="138"/>
      <c r="CI100" s="138"/>
      <c r="CJ100" s="138"/>
      <c r="CK100" s="343">
        <f>CK99*(1+BA100+'Risk Factors'!$J100)</f>
        <v>0.18620602351083299</v>
      </c>
      <c r="CL100" s="343">
        <f>CL99*(1+BB100+'Risk Factors'!$J100)</f>
        <v>1.0957529185688835</v>
      </c>
      <c r="CN100" s="343">
        <f t="shared" si="27"/>
        <v>0.14525116007908317</v>
      </c>
      <c r="CO100" s="343">
        <f t="shared" si="28"/>
        <v>0.85474883992091688</v>
      </c>
      <c r="CP100" s="418">
        <f t="shared" si="29"/>
        <v>1.2819589420797164</v>
      </c>
      <c r="CQ100" s="343">
        <f t="shared" si="31"/>
        <v>-1.5039394663405314E-2</v>
      </c>
      <c r="CS100" s="92"/>
      <c r="CT100" s="260"/>
      <c r="CU100" s="260"/>
      <c r="CV100" s="260"/>
      <c r="CW100" s="260"/>
      <c r="CX100" s="260"/>
      <c r="CY100" s="260"/>
      <c r="CZ100" s="260"/>
      <c r="DB100" s="325"/>
      <c r="DC100" s="92"/>
      <c r="DD100" s="92"/>
      <c r="DE100" s="260"/>
      <c r="DF100" s="260"/>
      <c r="DG100" s="260"/>
      <c r="DH100" s="260"/>
      <c r="DI100" s="260"/>
    </row>
    <row r="101" spans="6:113">
      <c r="F101" s="421">
        <v>43220</v>
      </c>
      <c r="G101" s="92">
        <f>IF(Portfolios!$G$16="yes",SUM(T101:X101),AX101)</f>
        <v>-1.1709806194446934E-2</v>
      </c>
      <c r="H101" s="138">
        <f>IF(IF(Portfolios!$J$10="no",'AC3'!Y101,'AC3'!AE101)=0,NA(),IF(Portfolios!$J$10="no",Y101,AE101))</f>
        <v>-1.0946654816685575</v>
      </c>
      <c r="I101" s="138">
        <f>IF(Portfolios!$J$11="no",NA(),IF(IF(Portfolios!$J$10="no",'AC3'!Z101,'AC3'!AF101)=0,NA(),IF(Portfolios!$J$10="no",Z101,AF101)))</f>
        <v>0.89539725577266549</v>
      </c>
      <c r="J101" s="138">
        <f>IF(Portfolios!$J$11="no",NA(),IF(IF(Portfolios!$J$10="no",'AC3'!AA101,'AC3'!AG101)=0,NA(),IF(Portfolios!$J$10="no",AA101,AG101)))</f>
        <v>0.11842442334147399</v>
      </c>
      <c r="K101" s="138">
        <f>IF(Portfolios!$J$11="no",NA(),IF(IF(Portfolios!$J$10="no",'AC3'!AB101,'AC3'!AH101)=0,NA(),IF(Portfolios!$J$10="no",AB101,AH101)))</f>
        <v>-3.1539752238668051</v>
      </c>
      <c r="L101" s="138">
        <f>IF(Portfolios!$J$11="no",NA(),IF(IF(Portfolios!$J$10="no",'AC3'!AC101,'AC3'!AI101)=0,NA(),IF(Portfolios!$J$10="no",AC101,AI101)))</f>
        <v>-1.0896486913056518</v>
      </c>
      <c r="M101" s="138">
        <f>IF(Portfolios!$J$11="no",NA(),IF(IF(Portfolios!$J$10="no",'AC3'!AD101,'AC3'!AJ101)=0,NA(),IF(Portfolios!$J$10="no",AD101,AJ101)))</f>
        <v>0.38519762485882897</v>
      </c>
      <c r="N101" s="92">
        <f>G101-'Risk Factors'!J101</f>
        <v>-1.3109806194446934E-2</v>
      </c>
      <c r="O101" s="260">
        <f>HLOOKUP(O$1,'Asset Returns'!$F$1:$N$109,ROW(),0)-'Risk Factors'!$J101</f>
        <v>0.10082149668375291</v>
      </c>
      <c r="P101" s="260">
        <f>HLOOKUP(P$1,'Asset Returns'!$F$1:$N$109,ROW(),0)-'Risk Factors'!$J101</f>
        <v>1.6514653784218972E-2</v>
      </c>
      <c r="Q101" s="260">
        <f>HLOOKUP(Q$1,'Asset Returns'!$F$1:$N$109,ROW(),0)-'Risk Factors'!$J101</f>
        <v>-6.6253411143532046E-2</v>
      </c>
      <c r="R101" s="260">
        <f>HLOOKUP(R$1,'Asset Returns'!$F$1:$N$109,ROW(),0)-'Risk Factors'!$J101</f>
        <v>2.1177610536218319E-2</v>
      </c>
      <c r="S101" s="260">
        <f>HLOOKUP(S$1,'Asset Returns'!$F$1:$N$109,ROW(),0)-'Risk Factors'!$J101</f>
        <v>-5.6603405295250028E-2</v>
      </c>
      <c r="T101" s="260">
        <f>HLOOKUP(T$1,'Asset Returns'!$F$1:$N$109,ROW(),0)*Portfolios!$G$10</f>
        <v>1.0222149668375292E-2</v>
      </c>
      <c r="U101" s="260">
        <f>HLOOKUP(U$1,'Asset Returns'!$F$1:$N$109,ROW(),0)*Portfolios!$G$11</f>
        <v>1.791465378421897E-3</v>
      </c>
      <c r="V101" s="260">
        <f>HLOOKUP(V$1,'Asset Returns'!$F$1:$N$109,ROW(),0)*Portfolios!$G$12</f>
        <v>-1.9456023343059615E-2</v>
      </c>
      <c r="W101" s="260">
        <f>HLOOKUP(W$1,'Asset Returns'!$F$1:$N$109,ROW(),0)*Portfolios!$G$13</f>
        <v>6.7732831608654951E-3</v>
      </c>
      <c r="X101" s="260">
        <f>HLOOKUP(X$1,'Asset Returns'!$F$1:$N$109,ROW(),0)*Portfolios!$G$14</f>
        <v>-1.1040681059050003E-2</v>
      </c>
      <c r="Y101" s="138">
        <f>Portfolios!$R$34</f>
        <v>-0.68211369708646341</v>
      </c>
      <c r="Z101" s="138">
        <f>Portfolios!$P$11</f>
        <v>0.9378377404978776</v>
      </c>
      <c r="AA101" s="138">
        <f>Portfolios!$P$12</f>
        <v>0.64097224418739052</v>
      </c>
      <c r="AB101" s="138">
        <f>Portfolios!$P$13</f>
        <v>-2.1312105104673718</v>
      </c>
      <c r="AC101" s="138">
        <f>Portfolios!$P$14</f>
        <v>-0.78557102570241866</v>
      </c>
      <c r="AD101" s="138">
        <f>Portfolios!$P$15</f>
        <v>0.17519882647973573</v>
      </c>
      <c r="AE101" s="183">
        <f>INDEX(LINEST(N41:N101,'AC2'!$F41:$J101,1,1),1,1)</f>
        <v>-1.0946654816685575</v>
      </c>
      <c r="AF101" s="183">
        <f>INDEX(LINEST(O41:O101,'AC2'!$F41:$J101,1,1),1,1)</f>
        <v>0.89539725577266549</v>
      </c>
      <c r="AG101" s="183">
        <f>INDEX(LINEST(P41:P101,'AC2'!$F41:$J101,1,1),1,1)</f>
        <v>0.11842442334147399</v>
      </c>
      <c r="AH101" s="183">
        <f>INDEX(LINEST(Q41:Q101,'AC2'!$F41:$J101,1,1),1,1)</f>
        <v>-3.1539752238668051</v>
      </c>
      <c r="AI101" s="183">
        <f>INDEX(LINEST(R41:R101,'AC2'!$F41:$J101,1,1),1,1)</f>
        <v>-1.0896486913056518</v>
      </c>
      <c r="AJ101" s="183">
        <f>INDEX(LINEST(S41:S101,'AC2'!$F41:$J101,1,1),1,1)</f>
        <v>0.38519762485882897</v>
      </c>
      <c r="AL101" s="343">
        <f>AL100*(1+O101+'Risk Factors'!$J101)</f>
        <v>0.1160986600051848</v>
      </c>
      <c r="AM101" s="343">
        <f>AM100*(1+P101+'Risk Factors'!$J101)</f>
        <v>0.16109832307574373</v>
      </c>
      <c r="AN101" s="343">
        <f>AN100*(1+Q101+'Risk Factors'!$J101)</f>
        <v>0.33799364087510941</v>
      </c>
      <c r="AO101" s="343">
        <f>AO100*(1+R101+'Risk Factors'!$J101)</f>
        <v>0.58137176929838574</v>
      </c>
      <c r="AP101" s="343">
        <f>AP100*(1+S101+'Risk Factors'!$J101)</f>
        <v>0.27306878791463918</v>
      </c>
      <c r="AR101" s="343">
        <f t="shared" si="32"/>
        <v>7.899850077543305E-2</v>
      </c>
      <c r="AS101" s="343">
        <f t="shared" si="33"/>
        <v>0.10961819886510107</v>
      </c>
      <c r="AT101" s="343">
        <f t="shared" si="34"/>
        <v>0.22998534952575111</v>
      </c>
      <c r="AU101" s="343">
        <f t="shared" si="35"/>
        <v>0.39559025199500453</v>
      </c>
      <c r="AV101" s="343">
        <f t="shared" si="36"/>
        <v>0.18580769883871018</v>
      </c>
      <c r="AW101" s="418">
        <f t="shared" si="37"/>
        <v>1.469631181169063</v>
      </c>
      <c r="AX101" s="343">
        <f t="shared" si="30"/>
        <v>-8.7392945456178373E-3</v>
      </c>
      <c r="AZ101" s="421">
        <v>43220</v>
      </c>
      <c r="BA101" s="92">
        <f>HLOOKUP(BA$1,'AC4'!$F$1:$AC$109,ROW(),0)*'Management and Hedging'!$G$10</f>
        <v>-4.4660400000000001E-3</v>
      </c>
      <c r="BB101" s="92">
        <f>HLOOKUP(BB$1,'AC4'!$F$1:$AC$109,ROW(),0)*'Management and Hedging'!$G$11</f>
        <v>-5.3002728914825638E-2</v>
      </c>
      <c r="BC101" s="92">
        <f>IF('Management and Hedging'!$G$13="yes",BA101+BB101,CQ101)</f>
        <v>-5.7468768914825635E-2</v>
      </c>
      <c r="BD101" s="138">
        <f>IF(IF('Management and Hedging'!$J$10="no",BL101,BO101)=0,NA(),IF('Management and Hedging'!$J$10="no",BL101,BO101))</f>
        <v>3.6399274301883136</v>
      </c>
      <c r="BE101" s="138">
        <f>IF(IF('Management and Hedging'!$J$10="no",BM101,BP101)=0,NA(),IF('Management and Hedging'!$J$10="no",BM101,BP101))</f>
        <v>-3.1539752238668051</v>
      </c>
      <c r="BF101" s="138">
        <f>IF(IF('Management and Hedging'!$J$10="no",BN101,BQ101)=0,NA(),IF('Management and Hedging'!$J$10="no",BN101,BQ101))</f>
        <v>-1.7951946930557834</v>
      </c>
      <c r="BG101" s="92">
        <f>IF('Management and Hedging'!$G$13="yes",BH101+BI101,CQ101)</f>
        <v>-5.6068768914825644E-2</v>
      </c>
      <c r="BH101" s="92">
        <f>HLOOKUP(BH$1,'Asset Returns'!$F$1:$ZY$109,ROW(),0)*'Management and Hedging'!$G$10</f>
        <v>-4.1860400000000002E-3</v>
      </c>
      <c r="BI101" s="92">
        <f>HLOOKUP(BI$1,'Asset Returns'!$F$1:$ZY$109,ROW(),0)*'Management and Hedging'!$G$11</f>
        <v>-5.1882728914825642E-2</v>
      </c>
      <c r="BJ101" s="92">
        <f>HLOOKUP(BJ$1,'AC4'!$F$1:$AC$109,ROW(),0)</f>
        <v>-2.2330199999999998E-2</v>
      </c>
      <c r="BK101" s="92">
        <f>HLOOKUP(BK$1,'AC4'!$F$1:$AC$109,ROW(),0)</f>
        <v>-6.6253411143532046E-2</v>
      </c>
      <c r="BL101" s="138">
        <f ca="1">'Management and Hedging'!$R$34</f>
        <v>2.5919346055080732</v>
      </c>
      <c r="BM101" s="138">
        <f ca="1">'Management and Hedging'!$R$36</f>
        <v>-2.1312105104673718</v>
      </c>
      <c r="BN101" s="138">
        <f>'Management and Hedging'!$R$38</f>
        <v>-1.1865814872722835</v>
      </c>
      <c r="BO101" s="138">
        <f>INDEX(LINEST(BJ41:BJ101,'AC2'!$F41:$J101,1,1),1,1)</f>
        <v>3.6399274301883136</v>
      </c>
      <c r="BP101" s="138">
        <f>INDEX(LINEST(BK41:BK101,'AC2'!$F41:$J101,1,1),1,1)</f>
        <v>-3.1539752238668051</v>
      </c>
      <c r="BQ101" s="138">
        <f>INDEX(LINEST(BC41:BC101,'AC2'!$F41:$J101,1,1),1,1)</f>
        <v>-1.7951946930557834</v>
      </c>
      <c r="BR101" s="138"/>
      <c r="BS101" s="138"/>
      <c r="BT101" s="138"/>
      <c r="BU101" s="138"/>
      <c r="BV101" s="138"/>
      <c r="BW101" s="138"/>
      <c r="BX101" s="138"/>
      <c r="BY101" s="138"/>
      <c r="BZ101" s="138"/>
      <c r="CA101" s="138"/>
      <c r="CB101" s="138"/>
      <c r="CC101" s="138"/>
      <c r="CD101" s="138"/>
      <c r="CE101" s="138"/>
      <c r="CF101" s="138"/>
      <c r="CG101" s="138"/>
      <c r="CH101" s="138"/>
      <c r="CI101" s="138"/>
      <c r="CJ101" s="138"/>
      <c r="CK101" s="343">
        <f>CK100*(1+BA101+'Risk Factors'!$J101)</f>
        <v>0.18563510839450784</v>
      </c>
      <c r="CL101" s="343">
        <f>CL100*(1+BB101+'Risk Factors'!$J101)</f>
        <v>1.0392090777543443</v>
      </c>
      <c r="CN101" s="343">
        <f t="shared" si="27"/>
        <v>0.15155814143036483</v>
      </c>
      <c r="CO101" s="343">
        <f t="shared" si="28"/>
        <v>0.84844185856963517</v>
      </c>
      <c r="CP101" s="418">
        <f t="shared" si="29"/>
        <v>1.2248441861488522</v>
      </c>
      <c r="CQ101" s="343">
        <f t="shared" si="31"/>
        <v>-4.4552718543549585E-2</v>
      </c>
      <c r="CS101" s="92"/>
      <c r="CT101" s="260"/>
      <c r="CU101" s="260"/>
      <c r="CV101" s="260"/>
      <c r="CW101" s="260"/>
      <c r="CX101" s="260"/>
      <c r="CY101" s="260"/>
      <c r="CZ101" s="260"/>
      <c r="DB101" s="325"/>
      <c r="DC101" s="92"/>
      <c r="DD101" s="92"/>
      <c r="DE101" s="260"/>
      <c r="DF101" s="260"/>
      <c r="DG101" s="260"/>
      <c r="DH101" s="260"/>
      <c r="DI101" s="260"/>
    </row>
    <row r="102" spans="6:113">
      <c r="F102" s="421">
        <v>43251</v>
      </c>
      <c r="G102" s="92">
        <f>IF(Portfolios!$G$16="yes",SUM(T102:X102),AX102)</f>
        <v>-2.2140649715648122E-2</v>
      </c>
      <c r="H102" s="138">
        <f>IF(IF(Portfolios!$J$10="no",'AC3'!Y102,'AC3'!AE102)=0,NA(),IF(Portfolios!$J$10="no",Y102,AE102))</f>
        <v>-1.1130686566878194</v>
      </c>
      <c r="I102" s="138">
        <f>IF(Portfolios!$J$11="no",NA(),IF(IF(Portfolios!$J$10="no",'AC3'!Z102,'AC3'!AF102)=0,NA(),IF(Portfolios!$J$10="no",Z102,AF102)))</f>
        <v>1.0198463456535511</v>
      </c>
      <c r="J102" s="138">
        <f>IF(Portfolios!$J$11="no",NA(),IF(IF(Portfolios!$J$10="no",'AC3'!AA102,'AC3'!AG102)=0,NA(),IF(Portfolios!$J$10="no",AA102,AG102)))</f>
        <v>-5.2880749753230781E-2</v>
      </c>
      <c r="K102" s="138">
        <f>IF(Portfolios!$J$11="no",NA(),IF(IF(Portfolios!$J$10="no",'AC3'!AB102,'AC3'!AH102)=0,NA(),IF(Portfolios!$J$10="no",AB102,AH102)))</f>
        <v>-3.2223393712814636</v>
      </c>
      <c r="L102" s="138">
        <f>IF(Portfolios!$J$11="no",NA(),IF(IF(Portfolios!$J$10="no",'AC3'!AC102,'AC3'!AI102)=0,NA(),IF(Portfolios!$J$10="no",AC102,AI102)))</f>
        <v>-0.99751580917117399</v>
      </c>
      <c r="M102" s="138">
        <f>IF(Portfolios!$J$11="no",NA(),IF(IF(Portfolios!$J$10="no",'AC3'!AD102,'AC3'!AJ102)=0,NA(),IF(Portfolios!$J$10="no",AD102,AJ102)))</f>
        <v>0.28095668928969608</v>
      </c>
      <c r="N102" s="92">
        <f>G102-'Risk Factors'!J102</f>
        <v>-2.3540649715648121E-2</v>
      </c>
      <c r="O102" s="260">
        <f>HLOOKUP(O$1,'Asset Returns'!$F$1:$N$109,ROW(),0)-'Risk Factors'!$J102</f>
        <v>4.7127200966163033E-2</v>
      </c>
      <c r="P102" s="260">
        <f>HLOOKUP(P$1,'Asset Returns'!$F$1:$N$109,ROW(),0)-'Risk Factors'!$J102</f>
        <v>-0.18075534902115881</v>
      </c>
      <c r="Q102" s="260">
        <f>HLOOKUP(Q$1,'Asset Returns'!$F$1:$N$109,ROW(),0)-'Risk Factors'!$J102</f>
        <v>7.4778277181384977E-3</v>
      </c>
      <c r="R102" s="260">
        <f>HLOOKUP(R$1,'Asset Returns'!$F$1:$N$109,ROW(),0)-'Risk Factors'!$J102</f>
        <v>-3.0838822447102163E-2</v>
      </c>
      <c r="S102" s="260">
        <f>HLOOKUP(S$1,'Asset Returns'!$F$1:$N$109,ROW(),0)-'Risk Factors'!$J102</f>
        <v>-1.5847682457297216E-2</v>
      </c>
      <c r="T102" s="260">
        <f>HLOOKUP(T$1,'Asset Returns'!$F$1:$N$109,ROW(),0)*Portfolios!$G$10</f>
        <v>4.8527200966163031E-3</v>
      </c>
      <c r="U102" s="260">
        <f>HLOOKUP(U$1,'Asset Returns'!$F$1:$N$109,ROW(),0)*Portfolios!$G$11</f>
        <v>-1.7935534902115882E-2</v>
      </c>
      <c r="V102" s="260">
        <f>HLOOKUP(V$1,'Asset Returns'!$F$1:$N$109,ROW(),0)*Portfolios!$G$12</f>
        <v>2.6633483154415495E-3</v>
      </c>
      <c r="W102" s="260">
        <f>HLOOKUP(W$1,'Asset Returns'!$F$1:$N$109,ROW(),0)*Portfolios!$G$13</f>
        <v>-8.8316467341306489E-3</v>
      </c>
      <c r="X102" s="260">
        <f>HLOOKUP(X$1,'Asset Returns'!$F$1:$N$109,ROW(),0)*Portfolios!$G$14</f>
        <v>-2.8895364914594429E-3</v>
      </c>
      <c r="Y102" s="138">
        <f>Portfolios!$R$34</f>
        <v>-0.68211369708646341</v>
      </c>
      <c r="Z102" s="138">
        <f>Portfolios!$P$11</f>
        <v>0.9378377404978776</v>
      </c>
      <c r="AA102" s="138">
        <f>Portfolios!$P$12</f>
        <v>0.64097224418739052</v>
      </c>
      <c r="AB102" s="138">
        <f>Portfolios!$P$13</f>
        <v>-2.1312105104673718</v>
      </c>
      <c r="AC102" s="138">
        <f>Portfolios!$P$14</f>
        <v>-0.78557102570241866</v>
      </c>
      <c r="AD102" s="138">
        <f>Portfolios!$P$15</f>
        <v>0.17519882647973573</v>
      </c>
      <c r="AE102" s="183">
        <f>INDEX(LINEST(N42:N102,'AC2'!$F42:$J102,1,1),1,1)</f>
        <v>-1.1130686566878194</v>
      </c>
      <c r="AF102" s="183">
        <f>INDEX(LINEST(O42:O102,'AC2'!$F42:$J102,1,1),1,1)</f>
        <v>1.0198463456535511</v>
      </c>
      <c r="AG102" s="183">
        <f>INDEX(LINEST(P42:P102,'AC2'!$F42:$J102,1,1),1,1)</f>
        <v>-5.2880749753230781E-2</v>
      </c>
      <c r="AH102" s="183">
        <f>INDEX(LINEST(Q42:Q102,'AC2'!$F42:$J102,1,1),1,1)</f>
        <v>-3.2223393712814636</v>
      </c>
      <c r="AI102" s="183">
        <f>INDEX(LINEST(R42:R102,'AC2'!$F42:$J102,1,1),1,1)</f>
        <v>-0.99751580917117399</v>
      </c>
      <c r="AJ102" s="183">
        <f>INDEX(LINEST(S42:S102,'AC2'!$F42:$J102,1,1),1,1)</f>
        <v>0.28095668928969608</v>
      </c>
      <c r="AL102" s="343">
        <f>AL101*(1+O102+'Risk Factors'!$J102)</f>
        <v>0.12173260301115864</v>
      </c>
      <c r="AM102" s="343">
        <f>AM101*(1+P102+'Risk Factors'!$J102)</f>
        <v>0.13220447711377029</v>
      </c>
      <c r="AN102" s="343">
        <f>AN101*(1+Q102+'Risk Factors'!$J102)</f>
        <v>0.34099429018862498</v>
      </c>
      <c r="AO102" s="343">
        <f>AO101*(1+R102+'Risk Factors'!$J102)</f>
        <v>0.56425686900625294</v>
      </c>
      <c r="AP102" s="343">
        <f>AP101*(1+S102+'Risk Factors'!$J102)</f>
        <v>0.26912357677784943</v>
      </c>
      <c r="AR102" s="343">
        <f t="shared" si="32"/>
        <v>8.5228310540585453E-2</v>
      </c>
      <c r="AS102" s="343">
        <f t="shared" si="33"/>
        <v>9.2559954782822584E-2</v>
      </c>
      <c r="AT102" s="343">
        <f t="shared" si="34"/>
        <v>0.2387393889383819</v>
      </c>
      <c r="AU102" s="343">
        <f t="shared" si="35"/>
        <v>0.39505160053067406</v>
      </c>
      <c r="AV102" s="343">
        <f t="shared" si="36"/>
        <v>0.18842074520753591</v>
      </c>
      <c r="AW102" s="418">
        <f t="shared" si="37"/>
        <v>1.4283118160976565</v>
      </c>
      <c r="AX102" s="343">
        <f t="shared" si="30"/>
        <v>-2.8115465703808629E-2</v>
      </c>
      <c r="AZ102" s="421">
        <v>43251</v>
      </c>
      <c r="BA102" s="92">
        <f>HLOOKUP(BA$1,'AC4'!$F$1:$AC$109,ROW(),0)*'Management and Hedging'!$G$10</f>
        <v>-7.8809599999999994E-3</v>
      </c>
      <c r="BB102" s="92">
        <f>HLOOKUP(BB$1,'AC4'!$F$1:$AC$109,ROW(),0)*'Management and Hedging'!$G$11</f>
        <v>5.9822621745107985E-3</v>
      </c>
      <c r="BC102" s="92">
        <f>IF('Management and Hedging'!$G$13="yes",BA102+BB102,CQ102)</f>
        <v>-1.8986978254892008E-3</v>
      </c>
      <c r="BD102" s="138">
        <f>IF(IF('Management and Hedging'!$J$10="no",BL102,BO102)=0,NA(),IF('Management and Hedging'!$J$10="no",BL102,BO102))</f>
        <v>3.3252498802304808</v>
      </c>
      <c r="BE102" s="138">
        <f>IF(IF('Management and Hedging'!$J$10="no",BM102,BP102)=0,NA(),IF('Management and Hedging'!$J$10="no",BM102,BP102))</f>
        <v>-3.2223393712814636</v>
      </c>
      <c r="BF102" s="138">
        <f>IF(IF('Management and Hedging'!$J$10="no",BN102,BQ102)=0,NA(),IF('Management and Hedging'!$J$10="no",BN102,BQ102))</f>
        <v>-1.9128215209790749</v>
      </c>
      <c r="BG102" s="92">
        <f>IF('Management and Hedging'!$G$13="yes",BH102+BI102,CQ102)</f>
        <v>-4.986978254892015E-4</v>
      </c>
      <c r="BH102" s="92">
        <f>HLOOKUP(BH$1,'Asset Returns'!$F$1:$ZY$109,ROW(),0)*'Management and Hedging'!$G$10</f>
        <v>-7.6009600000000004E-3</v>
      </c>
      <c r="BI102" s="92">
        <f>HLOOKUP(BI$1,'Asset Returns'!$F$1:$ZY$109,ROW(),0)*'Management and Hedging'!$G$11</f>
        <v>7.1022621745107989E-3</v>
      </c>
      <c r="BJ102" s="92">
        <f>HLOOKUP(BJ$1,'AC4'!$F$1:$AC$109,ROW(),0)</f>
        <v>-3.9404799999999997E-2</v>
      </c>
      <c r="BK102" s="92">
        <f>HLOOKUP(BK$1,'AC4'!$F$1:$AC$109,ROW(),0)</f>
        <v>7.4778277181384977E-3</v>
      </c>
      <c r="BL102" s="138">
        <f ca="1">'Management and Hedging'!$R$34</f>
        <v>2.5919346055080732</v>
      </c>
      <c r="BM102" s="138">
        <f ca="1">'Management and Hedging'!$R$36</f>
        <v>-2.1312105104673718</v>
      </c>
      <c r="BN102" s="138">
        <f>'Management and Hedging'!$R$38</f>
        <v>-1.1865814872722835</v>
      </c>
      <c r="BO102" s="138">
        <f>INDEX(LINEST(BJ42:BJ102,'AC2'!$F42:$J102,1,1),1,1)</f>
        <v>3.3252498802304808</v>
      </c>
      <c r="BP102" s="138">
        <f>INDEX(LINEST(BK42:BK102,'AC2'!$F42:$J102,1,1),1,1)</f>
        <v>-3.2223393712814636</v>
      </c>
      <c r="BQ102" s="138">
        <f>INDEX(LINEST(BC42:BC102,'AC2'!$F42:$J102,1,1),1,1)</f>
        <v>-1.9128215209790749</v>
      </c>
      <c r="BR102" s="138"/>
      <c r="BS102" s="138"/>
      <c r="BT102" s="138"/>
      <c r="BU102" s="138"/>
      <c r="BV102" s="138"/>
      <c r="BW102" s="138"/>
      <c r="BX102" s="138"/>
      <c r="BY102" s="138"/>
      <c r="BZ102" s="138"/>
      <c r="CA102" s="138"/>
      <c r="CB102" s="138"/>
      <c r="CC102" s="138"/>
      <c r="CD102" s="138"/>
      <c r="CE102" s="138"/>
      <c r="CF102" s="138"/>
      <c r="CG102" s="138"/>
      <c r="CH102" s="138"/>
      <c r="CI102" s="138"/>
      <c r="CJ102" s="138"/>
      <c r="CK102" s="343">
        <f>CK101*(1+BA102+'Risk Factors'!$J102)</f>
        <v>0.18443201468240736</v>
      </c>
      <c r="CL102" s="343">
        <f>CL101*(1+BB102+'Risk Factors'!$J102)</f>
        <v>1.0468807916204586</v>
      </c>
      <c r="CN102" s="343">
        <f t="shared" si="27"/>
        <v>0.14978485867956012</v>
      </c>
      <c r="CO102" s="343">
        <f t="shared" si="28"/>
        <v>0.85021514132043985</v>
      </c>
      <c r="CP102" s="418">
        <f t="shared" si="29"/>
        <v>1.231312806302866</v>
      </c>
      <c r="CQ102" s="343">
        <f t="shared" si="31"/>
        <v>5.2811779875059361E-3</v>
      </c>
      <c r="CS102" s="92"/>
      <c r="CT102" s="260"/>
      <c r="CU102" s="260"/>
      <c r="CV102" s="260"/>
      <c r="CW102" s="260"/>
      <c r="CX102" s="260"/>
      <c r="CY102" s="260"/>
      <c r="CZ102" s="260"/>
      <c r="DB102" s="325"/>
      <c r="DC102" s="92"/>
      <c r="DD102" s="92"/>
      <c r="DE102" s="260"/>
      <c r="DF102" s="260"/>
      <c r="DG102" s="260"/>
      <c r="DH102" s="260"/>
      <c r="DI102" s="260"/>
    </row>
    <row r="103" spans="6:113">
      <c r="F103" s="421">
        <v>43281</v>
      </c>
      <c r="G103" s="92">
        <f>IF(Portfolios!$G$16="yes",SUM(T103:X103),AX103)</f>
        <v>-2.0301606566079152E-2</v>
      </c>
      <c r="H103" s="138">
        <f>IF(IF(Portfolios!$J$10="no",'AC3'!Y103,'AC3'!AE103)=0,NA(),IF(Portfolios!$J$10="no",Y103,AE103))</f>
        <v>-0.74968702845392399</v>
      </c>
      <c r="I103" s="138">
        <f>IF(Portfolios!$J$11="no",NA(),IF(IF(Portfolios!$J$10="no",'AC3'!Z103,'AC3'!AF103)=0,NA(),IF(Portfolios!$J$10="no",Z103,AF103)))</f>
        <v>1.0377647290964078</v>
      </c>
      <c r="J103" s="138">
        <f>IF(Portfolios!$J$11="no",NA(),IF(IF(Portfolios!$J$10="no",'AC3'!AA103,'AC3'!AG103)=0,NA(),IF(Portfolios!$J$10="no",AA103,AG103)))</f>
        <v>-7.5906228963393829E-2</v>
      </c>
      <c r="K103" s="138">
        <f>IF(Portfolios!$J$11="no",NA(),IF(IF(Portfolios!$J$10="no",'AC3'!AB103,'AC3'!AH103)=0,NA(),IF(Portfolios!$J$10="no",AB103,AH103)))</f>
        <v>-2.1047845421627511</v>
      </c>
      <c r="L103" s="138">
        <f>IF(Portfolios!$J$11="no",NA(),IF(IF(Portfolios!$J$10="no",'AC3'!AC103,'AC3'!AI103)=0,NA(),IF(Portfolios!$J$10="no",AC103,AI103)))</f>
        <v>-0.95629816801192347</v>
      </c>
      <c r="M103" s="138">
        <f>IF(Portfolios!$J$11="no",NA(),IF(IF(Portfolios!$J$10="no",'AC3'!AD103,'AC3'!AJ103)=0,NA(),IF(Portfolios!$J$10="no",AD103,AJ103)))</f>
        <v>0.36225967292588629</v>
      </c>
      <c r="N103" s="92">
        <f>G103-'Risk Factors'!J103</f>
        <v>-2.1701606566079151E-2</v>
      </c>
      <c r="O103" s="260">
        <f>HLOOKUP(O$1,'Asset Returns'!$F$1:$N$109,ROW(),0)-'Risk Factors'!$J103</f>
        <v>-5.7716058274216876E-3</v>
      </c>
      <c r="P103" s="260">
        <f>HLOOKUP(P$1,'Asset Returns'!$F$1:$N$109,ROW(),0)-'Risk Factors'!$J103</f>
        <v>-6.2363855421686806E-2</v>
      </c>
      <c r="Q103" s="260">
        <f>HLOOKUP(Q$1,'Asset Returns'!$F$1:$N$109,ROW(),0)-'Risk Factors'!$J103</f>
        <v>-5.6002356406480255E-2</v>
      </c>
      <c r="R103" s="260">
        <f>HLOOKUP(R$1,'Asset Returns'!$F$1:$N$109,ROW(),0)-'Risk Factors'!$J103</f>
        <v>1.4903317535544925E-2</v>
      </c>
      <c r="S103" s="260">
        <f>HLOOKUP(S$1,'Asset Returns'!$F$1:$N$109,ROW(),0)-'Risk Factors'!$J103</f>
        <v>-1.2791743899438534E-2</v>
      </c>
      <c r="T103" s="260">
        <f>HLOOKUP(T$1,'Asset Returns'!$F$1:$N$109,ROW(),0)*Portfolios!$G$10</f>
        <v>-4.3716058274216878E-4</v>
      </c>
      <c r="U103" s="260">
        <f>HLOOKUP(U$1,'Asset Returns'!$F$1:$N$109,ROW(),0)*Portfolios!$G$11</f>
        <v>-6.0963855421686808E-3</v>
      </c>
      <c r="V103" s="260">
        <f>HLOOKUP(V$1,'Asset Returns'!$F$1:$N$109,ROW(),0)*Portfolios!$G$12</f>
        <v>-1.6380706921944075E-2</v>
      </c>
      <c r="W103" s="260">
        <f>HLOOKUP(W$1,'Asset Returns'!$F$1:$N$109,ROW(),0)*Portfolios!$G$13</f>
        <v>4.8909952606634773E-3</v>
      </c>
      <c r="X103" s="260">
        <f>HLOOKUP(X$1,'Asset Returns'!$F$1:$N$109,ROW(),0)*Portfolios!$G$14</f>
        <v>-2.278348779887706E-3</v>
      </c>
      <c r="Y103" s="138">
        <f>Portfolios!$R$34</f>
        <v>-0.68211369708646341</v>
      </c>
      <c r="Z103" s="138">
        <f>Portfolios!$P$11</f>
        <v>0.9378377404978776</v>
      </c>
      <c r="AA103" s="138">
        <f>Portfolios!$P$12</f>
        <v>0.64097224418739052</v>
      </c>
      <c r="AB103" s="138">
        <f>Portfolios!$P$13</f>
        <v>-2.1312105104673718</v>
      </c>
      <c r="AC103" s="138">
        <f>Portfolios!$P$14</f>
        <v>-0.78557102570241866</v>
      </c>
      <c r="AD103" s="138">
        <f>Portfolios!$P$15</f>
        <v>0.17519882647973573</v>
      </c>
      <c r="AE103" s="183">
        <f>INDEX(LINEST(N43:N103,'AC2'!$F43:$J103,1,1),1,1)</f>
        <v>-0.74968702845392399</v>
      </c>
      <c r="AF103" s="183">
        <f>INDEX(LINEST(O43:O103,'AC2'!$F43:$J103,1,1),1,1)</f>
        <v>1.0377647290964078</v>
      </c>
      <c r="AG103" s="183">
        <f>INDEX(LINEST(P43:P103,'AC2'!$F43:$J103,1,1),1,1)</f>
        <v>-7.5906228963393829E-2</v>
      </c>
      <c r="AH103" s="183">
        <f>INDEX(LINEST(Q43:Q103,'AC2'!$F43:$J103,1,1),1,1)</f>
        <v>-2.1047845421627511</v>
      </c>
      <c r="AI103" s="183">
        <f>INDEX(LINEST(R43:R103,'AC2'!$F43:$J103,1,1),1,1)</f>
        <v>-0.95629816801192347</v>
      </c>
      <c r="AJ103" s="183">
        <f>INDEX(LINEST(S43:S103,'AC2'!$F43:$J103,1,1),1,1)</f>
        <v>0.36225967292588629</v>
      </c>
      <c r="AL103" s="343">
        <f>AL102*(1+O103+'Risk Factors'!$J103)</f>
        <v>0.12120043605444784</v>
      </c>
      <c r="AM103" s="343">
        <f>AM102*(1+P103+'Risk Factors'!$J103)</f>
        <v>0.12414478248490669</v>
      </c>
      <c r="AN103" s="343">
        <f>AN102*(1+Q103+'Risk Factors'!$J103)</f>
        <v>0.32237519842317092</v>
      </c>
      <c r="AO103" s="343">
        <f>AO102*(1+R103+'Risk Factors'!$J103)</f>
        <v>0.57345612791327427</v>
      </c>
      <c r="AP103" s="343">
        <f>AP102*(1+S103+'Risk Factors'!$J103)</f>
        <v>0.26605778991389528</v>
      </c>
      <c r="AR103" s="343">
        <f t="shared" si="32"/>
        <v>8.6126690529165301E-2</v>
      </c>
      <c r="AS103" s="343">
        <f t="shared" si="33"/>
        <v>8.8218983445610424E-2</v>
      </c>
      <c r="AT103" s="343">
        <f t="shared" si="34"/>
        <v>0.22908423313260651</v>
      </c>
      <c r="AU103" s="343">
        <f t="shared" si="35"/>
        <v>0.40750578189877296</v>
      </c>
      <c r="AV103" s="343">
        <f t="shared" si="36"/>
        <v>0.18906431099384485</v>
      </c>
      <c r="AW103" s="418">
        <f t="shared" si="37"/>
        <v>1.407234334789695</v>
      </c>
      <c r="AX103" s="343">
        <f t="shared" si="30"/>
        <v>-1.4756918671686159E-2</v>
      </c>
      <c r="AZ103" s="421">
        <v>43281</v>
      </c>
      <c r="BA103" s="92">
        <f>HLOOKUP(BA$1,'AC4'!$F$1:$AC$109,ROW(),0)*'Management and Hedging'!$G$10</f>
        <v>-1.262568E-2</v>
      </c>
      <c r="BB103" s="92">
        <f>HLOOKUP(BB$1,'AC4'!$F$1:$AC$109,ROW(),0)*'Management and Hedging'!$G$11</f>
        <v>-4.480188512518421E-2</v>
      </c>
      <c r="BC103" s="92">
        <f>IF('Management and Hedging'!$G$13="yes",BA103+BB103,CQ103)</f>
        <v>-5.742756512518421E-2</v>
      </c>
      <c r="BD103" s="138">
        <f>IF(IF('Management and Hedging'!$J$10="no",BL103,BO103)=0,NA(),IF('Management and Hedging'!$J$10="no",BL103,BO103))</f>
        <v>3.3063107684513793</v>
      </c>
      <c r="BE103" s="138">
        <f>IF(IF('Management and Hedging'!$J$10="no",BM103,BP103)=0,NA(),IF('Management and Hedging'!$J$10="no",BM103,BP103))</f>
        <v>-2.1047845421627511</v>
      </c>
      <c r="BF103" s="138">
        <f>IF(IF('Management and Hedging'!$J$10="no",BN103,BQ103)=0,NA(),IF('Management and Hedging'!$J$10="no",BN103,BQ103))</f>
        <v>-1.0225654800399258</v>
      </c>
      <c r="BG103" s="92">
        <f>IF('Management and Hedging'!$G$13="yes",BH103+BI103,CQ103)</f>
        <v>-5.6027565125184205E-2</v>
      </c>
      <c r="BH103" s="92">
        <f>HLOOKUP(BH$1,'Asset Returns'!$F$1:$ZY$109,ROW(),0)*'Management and Hedging'!$G$10</f>
        <v>-1.234568E-2</v>
      </c>
      <c r="BI103" s="92">
        <f>HLOOKUP(BI$1,'Asset Returns'!$F$1:$ZY$109,ROW(),0)*'Management and Hedging'!$G$11</f>
        <v>-4.3681885125184207E-2</v>
      </c>
      <c r="BJ103" s="92">
        <f>HLOOKUP(BJ$1,'AC4'!$F$1:$AC$109,ROW(),0)</f>
        <v>-6.3128400000000001E-2</v>
      </c>
      <c r="BK103" s="92">
        <f>HLOOKUP(BK$1,'AC4'!$F$1:$AC$109,ROW(),0)</f>
        <v>-5.6002356406480255E-2</v>
      </c>
      <c r="BL103" s="138">
        <f ca="1">'Management and Hedging'!$R$34</f>
        <v>2.5919346055080732</v>
      </c>
      <c r="BM103" s="138">
        <f ca="1">'Management and Hedging'!$R$36</f>
        <v>-2.1312105104673718</v>
      </c>
      <c r="BN103" s="138">
        <f>'Management and Hedging'!$R$38</f>
        <v>-1.1865814872722835</v>
      </c>
      <c r="BO103" s="138">
        <f>INDEX(LINEST(BJ43:BJ103,'AC2'!$F43:$J103,1,1),1,1)</f>
        <v>3.3063107684513793</v>
      </c>
      <c r="BP103" s="138">
        <f>INDEX(LINEST(BK43:BK103,'AC2'!$F43:$J103,1,1),1,1)</f>
        <v>-2.1047845421627511</v>
      </c>
      <c r="BQ103" s="138">
        <f>INDEX(LINEST(BC43:BC103,'AC2'!$F43:$J103,1,1),1,1)</f>
        <v>-1.0225654800399258</v>
      </c>
      <c r="BR103" s="138"/>
      <c r="BS103" s="138"/>
      <c r="BT103" s="138"/>
      <c r="BU103" s="138"/>
      <c r="BV103" s="138"/>
      <c r="BW103" s="138"/>
      <c r="BX103" s="138"/>
      <c r="BY103" s="138"/>
      <c r="BZ103" s="138"/>
      <c r="CA103" s="138"/>
      <c r="CB103" s="138"/>
      <c r="CC103" s="138"/>
      <c r="CD103" s="138"/>
      <c r="CE103" s="138"/>
      <c r="CF103" s="138"/>
      <c r="CG103" s="138"/>
      <c r="CH103" s="138"/>
      <c r="CI103" s="138"/>
      <c r="CJ103" s="138"/>
      <c r="CK103" s="343">
        <f>CK102*(1+BA103+'Risk Factors'!$J103)</f>
        <v>0.18236163990382734</v>
      </c>
      <c r="CL103" s="343">
        <f>CL102*(1+BB103+'Risk Factors'!$J103)</f>
        <v>1.0014441917627854</v>
      </c>
      <c r="CN103" s="343">
        <f t="shared" si="27"/>
        <v>0.1540469180212525</v>
      </c>
      <c r="CO103" s="343">
        <f t="shared" si="28"/>
        <v>0.84595308197874752</v>
      </c>
      <c r="CP103" s="418">
        <f t="shared" si="29"/>
        <v>1.1838058316666127</v>
      </c>
      <c r="CQ103" s="343">
        <f t="shared" si="31"/>
        <v>-3.8582376787664185E-2</v>
      </c>
      <c r="CS103" s="92"/>
      <c r="CT103" s="260"/>
      <c r="CU103" s="260"/>
      <c r="CV103" s="260"/>
      <c r="CW103" s="260"/>
      <c r="CX103" s="260"/>
      <c r="CY103" s="260"/>
      <c r="CZ103" s="260"/>
      <c r="DB103" s="325"/>
      <c r="DC103" s="92"/>
      <c r="DD103" s="92"/>
      <c r="DE103" s="260"/>
      <c r="DF103" s="260"/>
      <c r="DG103" s="260"/>
      <c r="DH103" s="260"/>
      <c r="DI103" s="260"/>
    </row>
    <row r="104" spans="6:113">
      <c r="F104" s="421">
        <v>43312</v>
      </c>
      <c r="G104" s="92">
        <f>IF(Portfolios!$G$16="yes",SUM(T104:X104),AX104)</f>
        <v>1.9285773485627201E-2</v>
      </c>
      <c r="H104" s="138">
        <f>IF(IF(Portfolios!$J$10="no",'AC3'!Y104,'AC3'!AE104)=0,NA(),IF(Portfolios!$J$10="no",Y104,AE104))</f>
        <v>-0.77400873690373562</v>
      </c>
      <c r="I104" s="138">
        <f>IF(Portfolios!$J$11="no",NA(),IF(IF(Portfolios!$J$10="no",'AC3'!Z104,'AC3'!AF104)=0,NA(),IF(Portfolios!$J$10="no",Z104,AF104)))</f>
        <v>1.0737874296507641</v>
      </c>
      <c r="J104" s="138">
        <f>IF(Portfolios!$J$11="no",NA(),IF(IF(Portfolios!$J$10="no",'AC3'!AA104,'AC3'!AG104)=0,NA(),IF(Portfolios!$J$10="no",AA104,AG104)))</f>
        <v>-0.1197844507909385</v>
      </c>
      <c r="K104" s="138">
        <f>IF(Portfolios!$J$11="no",NA(),IF(IF(Portfolios!$J$10="no",'AC3'!AB104,'AC3'!AH104)=0,NA(),IF(Portfolios!$J$10="no",AB104,AH104)))</f>
        <v>-2.1710211554570042</v>
      </c>
      <c r="L104" s="138">
        <f>IF(Portfolios!$J$11="no",NA(),IF(IF(Portfolios!$J$10="no",'AC3'!AC104,'AC3'!AI104)=0,NA(),IF(Portfolios!$J$10="no",AC104,AI104)))</f>
        <v>-0.92238029161950474</v>
      </c>
      <c r="M104" s="138">
        <f>IF(Portfolios!$J$11="no",NA(),IF(IF(Portfolios!$J$10="no",'AC3'!AD104,'AC3'!AJ104)=0,NA(),IF(Portfolios!$J$10="no",AD104,AJ104)))</f>
        <v>0.29305699666617452</v>
      </c>
      <c r="N104" s="92">
        <f>G104-'Risk Factors'!J104</f>
        <v>1.76857734856272E-2</v>
      </c>
      <c r="O104" s="260">
        <f>HLOOKUP(O$1,'Asset Returns'!$F$1:$N$109,ROW(),0)-'Risk Factors'!$J104</f>
        <v>-1.6629195985229227E-2</v>
      </c>
      <c r="P104" s="260">
        <f>HLOOKUP(P$1,'Asset Returns'!$F$1:$N$109,ROW(),0)-'Risk Factors'!$J104</f>
        <v>-2.1872004105722275E-2</v>
      </c>
      <c r="Q104" s="260">
        <f>HLOOKUP(Q$1,'Asset Returns'!$F$1:$N$109,ROW(),0)-'Risk Factors'!$J104</f>
        <v>4.1473567784398528E-2</v>
      </c>
      <c r="R104" s="260">
        <f>HLOOKUP(R$1,'Asset Returns'!$F$1:$N$109,ROW(),0)-'Risk Factors'!$J104</f>
        <v>6.4208916246968799E-3</v>
      </c>
      <c r="S104" s="260">
        <f>HLOOKUP(S$1,'Asset Returns'!$F$1:$N$109,ROW(),0)-'Risk Factors'!$J104</f>
        <v>3.5837778359968646E-2</v>
      </c>
      <c r="T104" s="260">
        <f>HLOOKUP(T$1,'Asset Returns'!$F$1:$N$109,ROW(),0)*Portfolios!$G$10</f>
        <v>-1.5029195985229228E-3</v>
      </c>
      <c r="U104" s="260">
        <f>HLOOKUP(U$1,'Asset Returns'!$F$1:$N$109,ROW(),0)*Portfolios!$G$11</f>
        <v>-2.0272004105722275E-3</v>
      </c>
      <c r="V104" s="260">
        <f>HLOOKUP(V$1,'Asset Returns'!$F$1:$N$109,ROW(),0)*Portfolios!$G$12</f>
        <v>1.2922070335319558E-2</v>
      </c>
      <c r="W104" s="260">
        <f>HLOOKUP(W$1,'Asset Returns'!$F$1:$N$109,ROW(),0)*Portfolios!$G$13</f>
        <v>2.4062674874090638E-3</v>
      </c>
      <c r="X104" s="260">
        <f>HLOOKUP(X$1,'Asset Returns'!$F$1:$N$109,ROW(),0)*Portfolios!$G$14</f>
        <v>7.4875556719937271E-3</v>
      </c>
      <c r="Y104" s="138">
        <f>Portfolios!$R$34</f>
        <v>-0.68211369708646341</v>
      </c>
      <c r="Z104" s="138">
        <f>Portfolios!$P$11</f>
        <v>0.9378377404978776</v>
      </c>
      <c r="AA104" s="138">
        <f>Portfolios!$P$12</f>
        <v>0.64097224418739052</v>
      </c>
      <c r="AB104" s="138">
        <f>Portfolios!$P$13</f>
        <v>-2.1312105104673718</v>
      </c>
      <c r="AC104" s="138">
        <f>Portfolios!$P$14</f>
        <v>-0.78557102570241866</v>
      </c>
      <c r="AD104" s="138">
        <f>Portfolios!$P$15</f>
        <v>0.17519882647973573</v>
      </c>
      <c r="AE104" s="183">
        <f>INDEX(LINEST(N44:N104,'AC2'!$F44:$J104,1,1),1,1)</f>
        <v>-0.77400873690373562</v>
      </c>
      <c r="AF104" s="183">
        <f>INDEX(LINEST(O44:O104,'AC2'!$F44:$J104,1,1),1,1)</f>
        <v>1.0737874296507641</v>
      </c>
      <c r="AG104" s="183">
        <f>INDEX(LINEST(P44:P104,'AC2'!$F44:$J104,1,1),1,1)</f>
        <v>-0.1197844507909385</v>
      </c>
      <c r="AH104" s="183">
        <f>INDEX(LINEST(Q44:Q104,'AC2'!$F44:$J104,1,1),1,1)</f>
        <v>-2.1710211554570042</v>
      </c>
      <c r="AI104" s="183">
        <f>INDEX(LINEST(R44:R104,'AC2'!$F44:$J104,1,1),1,1)</f>
        <v>-0.92238029161950474</v>
      </c>
      <c r="AJ104" s="183">
        <f>INDEX(LINEST(S44:S104,'AC2'!$F44:$J104,1,1),1,1)</f>
        <v>0.29305699666617452</v>
      </c>
      <c r="AL104" s="343">
        <f>AL103*(1+O104+'Risk Factors'!$J104)</f>
        <v>0.11937889094749031</v>
      </c>
      <c r="AM104" s="343">
        <f>AM103*(1+P104+'Risk Factors'!$J104)</f>
        <v>0.12162811894466867</v>
      </c>
      <c r="AN104" s="343">
        <f>AN103*(1+Q104+'Risk Factors'!$J104)</f>
        <v>0.3362610483844603</v>
      </c>
      <c r="AO104" s="343">
        <f>AO103*(1+R104+'Risk Factors'!$J104)</f>
        <v>0.57805575736678494</v>
      </c>
      <c r="AP104" s="343">
        <f>AP103*(1+S104+'Risk Factors'!$J104)</f>
        <v>0.27601840248363479</v>
      </c>
      <c r="AR104" s="343">
        <f t="shared" si="32"/>
        <v>8.3403458261506275E-2</v>
      </c>
      <c r="AS104" s="343">
        <f t="shared" si="33"/>
        <v>8.4974870023622501E-2</v>
      </c>
      <c r="AT104" s="343">
        <f t="shared" si="34"/>
        <v>0.2349270804185945</v>
      </c>
      <c r="AU104" s="343">
        <f t="shared" si="35"/>
        <v>0.40385573068835418</v>
      </c>
      <c r="AV104" s="343">
        <f t="shared" si="36"/>
        <v>0.19283886060792257</v>
      </c>
      <c r="AW104" s="418">
        <f t="shared" si="37"/>
        <v>1.431342218127039</v>
      </c>
      <c r="AX104" s="343">
        <f t="shared" si="30"/>
        <v>1.7131392221855446E-2</v>
      </c>
      <c r="AZ104" s="421">
        <v>43312</v>
      </c>
      <c r="BA104" s="92">
        <f>HLOOKUP(BA$1,'AC4'!$F$1:$AC$109,ROW(),0)*'Management and Hedging'!$G$10</f>
        <v>1.7852599999999997E-3</v>
      </c>
      <c r="BB104" s="92">
        <f>HLOOKUP(BB$1,'AC4'!$F$1:$AC$109,ROW(),0)*'Management and Hedging'!$G$11</f>
        <v>3.3178854227518824E-2</v>
      </c>
      <c r="BC104" s="92">
        <f>IF('Management and Hedging'!$G$13="yes",BA104+BB104,CQ104)</f>
        <v>3.4964114227518821E-2</v>
      </c>
      <c r="BD104" s="138">
        <f>IF(IF('Management and Hedging'!$J$10="no",BL104,BO104)=0,NA(),IF('Management and Hedging'!$J$10="no",BL104,BO104))</f>
        <v>3.1319703226066178</v>
      </c>
      <c r="BE104" s="138">
        <f>IF(IF('Management and Hedging'!$J$10="no",BM104,BP104)=0,NA(),IF('Management and Hedging'!$J$10="no",BM104,BP104))</f>
        <v>-2.1710211554570042</v>
      </c>
      <c r="BF104" s="138">
        <f>IF(IF('Management and Hedging'!$J$10="no",BN104,BQ104)=0,NA(),IF('Management and Hedging'!$J$10="no",BN104,BQ104))</f>
        <v>-1.1104228598442802</v>
      </c>
      <c r="BG104" s="92">
        <f>IF('Management and Hedging'!$G$13="yes",BH104+BI104,CQ104)</f>
        <v>3.6564114227518818E-2</v>
      </c>
      <c r="BH104" s="92">
        <f>HLOOKUP(BH$1,'Asset Returns'!$F$1:$ZY$109,ROW(),0)*'Management and Hedging'!$G$10</f>
        <v>2.1052599999999999E-3</v>
      </c>
      <c r="BI104" s="92">
        <f>HLOOKUP(BI$1,'Asset Returns'!$F$1:$ZY$109,ROW(),0)*'Management and Hedging'!$G$11</f>
        <v>3.445885422751882E-2</v>
      </c>
      <c r="BJ104" s="92">
        <f>HLOOKUP(BJ$1,'AC4'!$F$1:$AC$109,ROW(),0)</f>
        <v>8.9262999999999981E-3</v>
      </c>
      <c r="BK104" s="92">
        <f>HLOOKUP(BK$1,'AC4'!$F$1:$AC$109,ROW(),0)</f>
        <v>4.1473567784398528E-2</v>
      </c>
      <c r="BL104" s="138">
        <f ca="1">'Management and Hedging'!$R$34</f>
        <v>2.5919346055080732</v>
      </c>
      <c r="BM104" s="138">
        <f ca="1">'Management and Hedging'!$R$36</f>
        <v>-2.1312105104673718</v>
      </c>
      <c r="BN104" s="138">
        <f>'Management and Hedging'!$R$38</f>
        <v>-1.1865814872722835</v>
      </c>
      <c r="BO104" s="138">
        <f>INDEX(LINEST(BJ44:BJ104,'AC2'!$F44:$J104,1,1),1,1)</f>
        <v>3.1319703226066178</v>
      </c>
      <c r="BP104" s="138">
        <f>INDEX(LINEST(BK44:BK104,'AC2'!$F44:$J104,1,1),1,1)</f>
        <v>-2.1710211554570042</v>
      </c>
      <c r="BQ104" s="138">
        <f>INDEX(LINEST(BC44:BC104,'AC2'!$F44:$J104,1,1),1,1)</f>
        <v>-1.1104228598442802</v>
      </c>
      <c r="BR104" s="138"/>
      <c r="BS104" s="138"/>
      <c r="BT104" s="138"/>
      <c r="BU104" s="138"/>
      <c r="BV104" s="138"/>
      <c r="BW104" s="138"/>
      <c r="BX104" s="138"/>
      <c r="BY104" s="138"/>
      <c r="BZ104" s="138"/>
      <c r="CA104" s="138"/>
      <c r="CB104" s="138"/>
      <c r="CC104" s="138"/>
      <c r="CD104" s="138"/>
      <c r="CE104" s="138"/>
      <c r="CF104" s="138"/>
      <c r="CG104" s="138"/>
      <c r="CH104" s="138"/>
      <c r="CI104" s="138"/>
      <c r="CJ104" s="138"/>
      <c r="CK104" s="343">
        <f>CK103*(1+BA104+'Risk Factors'!$J104)</f>
        <v>0.18297898146892816</v>
      </c>
      <c r="CL104" s="343">
        <f>CL103*(1+BB104+'Risk Factors'!$J104)</f>
        <v>1.0362732733250988</v>
      </c>
      <c r="CN104" s="343">
        <f t="shared" si="27"/>
        <v>0.15007475339862258</v>
      </c>
      <c r="CO104" s="343">
        <f t="shared" si="28"/>
        <v>0.84992524660137736</v>
      </c>
      <c r="CP104" s="418">
        <f t="shared" si="29"/>
        <v>1.219252254794027</v>
      </c>
      <c r="CQ104" s="343">
        <f t="shared" si="31"/>
        <v>2.9942767791159897E-2</v>
      </c>
      <c r="CS104" s="92"/>
      <c r="CT104" s="260"/>
      <c r="CU104" s="260"/>
      <c r="CV104" s="260"/>
      <c r="CW104" s="260"/>
      <c r="CX104" s="260"/>
      <c r="CY104" s="260"/>
      <c r="CZ104" s="260"/>
      <c r="DB104" s="325"/>
      <c r="DC104" s="92"/>
      <c r="DD104" s="92"/>
      <c r="DE104" s="260"/>
      <c r="DF104" s="260"/>
      <c r="DG104" s="260"/>
      <c r="DH104" s="260"/>
      <c r="DI104" s="260"/>
    </row>
    <row r="105" spans="6:113">
      <c r="F105" s="421">
        <v>43343</v>
      </c>
      <c r="G105" s="92">
        <f>IF(Portfolios!$G$16="yes",SUM(T105:X105),AX105)</f>
        <v>1.0033111685453996E-2</v>
      </c>
      <c r="H105" s="138">
        <f>IF(IF(Portfolios!$J$10="no",'AC3'!Y105,'AC3'!AE105)=0,NA(),IF(Portfolios!$J$10="no",Y105,AE105))</f>
        <v>-0.75537252560859303</v>
      </c>
      <c r="I105" s="138">
        <f>IF(Portfolios!$J$11="no",NA(),IF(IF(Portfolios!$J$10="no",'AC3'!Z105,'AC3'!AF105)=0,NA(),IF(Portfolios!$J$10="no",Z105,AF105)))</f>
        <v>1.0507585149497536</v>
      </c>
      <c r="J105" s="138">
        <f>IF(Portfolios!$J$11="no",NA(),IF(IF(Portfolios!$J$10="no",'AC3'!AA105,'AC3'!AG105)=0,NA(),IF(Portfolios!$J$10="no",AA105,AG105)))</f>
        <v>-0.15610233223401743</v>
      </c>
      <c r="K105" s="138">
        <f>IF(Portfolios!$J$11="no",NA(),IF(IF(Portfolios!$J$10="no",'AC3'!AB105,'AC3'!AH105)=0,NA(),IF(Portfolios!$J$10="no",AB105,AH105)))</f>
        <v>-2.0680325071032373</v>
      </c>
      <c r="L105" s="138">
        <f>IF(Portfolios!$J$11="no",NA(),IF(IF(Portfolios!$J$10="no",'AC3'!AC105,'AC3'!AI105)=0,NA(),IF(Portfolios!$J$10="no",AC105,AI105)))</f>
        <v>-0.94304038351447694</v>
      </c>
      <c r="M105" s="138">
        <f>IF(Portfolios!$J$11="no",NA(),IF(IF(Portfolios!$J$10="no",'AC3'!AD105,'AC3'!AJ105)=0,NA(),IF(Portfolios!$J$10="no",AD105,AJ105)))</f>
        <v>0.29241861652573797</v>
      </c>
      <c r="N105" s="92">
        <f>G105-'Risk Factors'!J105</f>
        <v>8.4331116854539957E-3</v>
      </c>
      <c r="O105" s="260">
        <f>HLOOKUP(O$1,'Asset Returns'!$F$1:$N$109,ROW(),0)-'Risk Factors'!$J105</f>
        <v>-4.2394522022999599E-2</v>
      </c>
      <c r="P105" s="260">
        <f>HLOOKUP(P$1,'Asset Returns'!$F$1:$N$109,ROW(),0)-'Risk Factors'!$J105</f>
        <v>-2.2291461498166586E-2</v>
      </c>
      <c r="Q105" s="260">
        <f>HLOOKUP(Q$1,'Asset Returns'!$F$1:$N$109,ROW(),0)-'Risk Factors'!$J105</f>
        <v>8.0093611619310764E-2</v>
      </c>
      <c r="R105" s="260">
        <f>HLOOKUP(R$1,'Asset Returns'!$F$1:$N$109,ROW(),0)-'Risk Factors'!$J105</f>
        <v>-4.3790969652109553E-2</v>
      </c>
      <c r="S105" s="260">
        <f>HLOOKUP(S$1,'Asset Returns'!$F$1:$N$109,ROW(),0)-'Risk Factors'!$J105</f>
        <v>2.005458723705127E-2</v>
      </c>
      <c r="T105" s="260">
        <f>HLOOKUP(T$1,'Asset Returns'!$F$1:$N$109,ROW(),0)*Portfolios!$G$10</f>
        <v>-4.0794522022999605E-3</v>
      </c>
      <c r="U105" s="260">
        <f>HLOOKUP(U$1,'Asset Returns'!$F$1:$N$109,ROW(),0)*Portfolios!$G$11</f>
        <v>-2.0691461498166587E-3</v>
      </c>
      <c r="V105" s="260">
        <f>HLOOKUP(V$1,'Asset Returns'!$F$1:$N$109,ROW(),0)*Portfolios!$G$12</f>
        <v>2.4508083485793229E-2</v>
      </c>
      <c r="W105" s="260">
        <f>HLOOKUP(W$1,'Asset Returns'!$F$1:$N$109,ROW(),0)*Portfolios!$G$13</f>
        <v>-1.2657290895632866E-2</v>
      </c>
      <c r="X105" s="260">
        <f>HLOOKUP(X$1,'Asset Returns'!$F$1:$N$109,ROW(),0)*Portfolios!$G$14</f>
        <v>4.330917447410253E-3</v>
      </c>
      <c r="Y105" s="138">
        <f>Portfolios!$R$34</f>
        <v>-0.68211369708646341</v>
      </c>
      <c r="Z105" s="138">
        <f>Portfolios!$P$11</f>
        <v>0.9378377404978776</v>
      </c>
      <c r="AA105" s="138">
        <f>Portfolios!$P$12</f>
        <v>0.64097224418739052</v>
      </c>
      <c r="AB105" s="138">
        <f>Portfolios!$P$13</f>
        <v>-2.1312105104673718</v>
      </c>
      <c r="AC105" s="138">
        <f>Portfolios!$P$14</f>
        <v>-0.78557102570241866</v>
      </c>
      <c r="AD105" s="138">
        <f>Portfolios!$P$15</f>
        <v>0.17519882647973573</v>
      </c>
      <c r="AE105" s="183">
        <f>INDEX(LINEST(N45:N105,'AC2'!$F45:$J105,1,1),1,1)</f>
        <v>-0.75537252560859303</v>
      </c>
      <c r="AF105" s="183">
        <f>INDEX(LINEST(O45:O105,'AC2'!$F45:$J105,1,1),1,1)</f>
        <v>1.0507585149497536</v>
      </c>
      <c r="AG105" s="183">
        <f>INDEX(LINEST(P45:P105,'AC2'!$F45:$J105,1,1),1,1)</f>
        <v>-0.15610233223401743</v>
      </c>
      <c r="AH105" s="183">
        <f>INDEX(LINEST(Q45:Q105,'AC2'!$F45:$J105,1,1),1,1)</f>
        <v>-2.0680325071032373</v>
      </c>
      <c r="AI105" s="183">
        <f>INDEX(LINEST(R45:R105,'AC2'!$F45:$J105,1,1),1,1)</f>
        <v>-0.94304038351447694</v>
      </c>
      <c r="AJ105" s="183">
        <f>INDEX(LINEST(S45:S105,'AC2'!$F45:$J105,1,1),1,1)</f>
        <v>0.29241861652573797</v>
      </c>
      <c r="AL105" s="343">
        <f>AL104*(1+O105+'Risk Factors'!$J105)</f>
        <v>0.11450888615165165</v>
      </c>
      <c r="AM105" s="343">
        <f>AM104*(1+P105+'Risk Factors'!$J105)</f>
        <v>0.11911145540443063</v>
      </c>
      <c r="AN105" s="343">
        <f>AN104*(1+Q105+'Risk Factors'!$J105)</f>
        <v>0.36373142787388268</v>
      </c>
      <c r="AO105" s="343">
        <f>AO104*(1+R105+'Risk Factors'!$J105)</f>
        <v>0.55366702445049576</v>
      </c>
      <c r="AP105" s="343">
        <f>AP104*(1+S105+'Risk Factors'!$J105)</f>
        <v>0.28199546705924822</v>
      </c>
      <c r="AR105" s="343">
        <f t="shared" si="32"/>
        <v>7.9907708717819506E-2</v>
      </c>
      <c r="AS105" s="343">
        <f t="shared" si="33"/>
        <v>8.3119518521973731E-2</v>
      </c>
      <c r="AT105" s="343">
        <f t="shared" si="34"/>
        <v>0.25382261557911034</v>
      </c>
      <c r="AU105" s="343">
        <f t="shared" si="35"/>
        <v>0.38636532764679171</v>
      </c>
      <c r="AV105" s="343">
        <f t="shared" si="36"/>
        <v>0.19678482953430468</v>
      </c>
      <c r="AW105" s="418">
        <f t="shared" si="37"/>
        <v>1.433014260939709</v>
      </c>
      <c r="AX105" s="343">
        <f t="shared" si="30"/>
        <v>1.168164252751458E-3</v>
      </c>
      <c r="AZ105" s="421">
        <v>43343</v>
      </c>
      <c r="BA105" s="92">
        <f>HLOOKUP(BA$1,'AC4'!$F$1:$AC$109,ROW(),0)*'Management and Hedging'!$G$10</f>
        <v>-1.6465840000000002E-2</v>
      </c>
      <c r="BB105" s="92">
        <f>HLOOKUP(BB$1,'AC4'!$F$1:$AC$109,ROW(),0)*'Management and Hedging'!$G$11</f>
        <v>6.407488929544862E-2</v>
      </c>
      <c r="BC105" s="92">
        <f>IF('Management and Hedging'!$G$13="yes",BA105+BB105,CQ105)</f>
        <v>4.7609049295448617E-2</v>
      </c>
      <c r="BD105" s="138">
        <f>IF(IF('Management and Hedging'!$J$10="no",BL105,BO105)=0,NA(),IF('Management and Hedging'!$J$10="no",BL105,BO105))</f>
        <v>3.1544653088191215</v>
      </c>
      <c r="BE105" s="138">
        <f>IF(IF('Management and Hedging'!$J$10="no",BM105,BP105)=0,NA(),IF('Management and Hedging'!$J$10="no",BM105,BP105))</f>
        <v>-2.0680325071032373</v>
      </c>
      <c r="BF105" s="138">
        <f>IF(IF('Management and Hedging'!$J$10="no",BN105,BQ105)=0,NA(),IF('Management and Hedging'!$J$10="no",BN105,BQ105))</f>
        <v>-1.0235329439187668</v>
      </c>
      <c r="BG105" s="92">
        <f>IF('Management and Hedging'!$G$13="yes",BH105+BI105,CQ105)</f>
        <v>4.9209049295448622E-2</v>
      </c>
      <c r="BH105" s="92">
        <f>HLOOKUP(BH$1,'Asset Returns'!$F$1:$ZY$109,ROW(),0)*'Management and Hedging'!$G$10</f>
        <v>-1.6145840000000002E-2</v>
      </c>
      <c r="BI105" s="92">
        <f>HLOOKUP(BI$1,'Asset Returns'!$F$1:$ZY$109,ROW(),0)*'Management and Hedging'!$G$11</f>
        <v>6.5354889295448623E-2</v>
      </c>
      <c r="BJ105" s="92">
        <f>HLOOKUP(BJ$1,'AC4'!$F$1:$AC$109,ROW(),0)</f>
        <v>-8.2329200000000005E-2</v>
      </c>
      <c r="BK105" s="92">
        <f>HLOOKUP(BK$1,'AC4'!$F$1:$AC$109,ROW(),0)</f>
        <v>8.0093611619310764E-2</v>
      </c>
      <c r="BL105" s="138">
        <f ca="1">'Management and Hedging'!$R$34</f>
        <v>2.5919346055080732</v>
      </c>
      <c r="BM105" s="138">
        <f ca="1">'Management and Hedging'!$R$36</f>
        <v>-2.1312105104673718</v>
      </c>
      <c r="BN105" s="138">
        <f>'Management and Hedging'!$R$38</f>
        <v>-1.1865814872722835</v>
      </c>
      <c r="BO105" s="138">
        <f>INDEX(LINEST(BJ45:BJ105,'AC2'!$F45:$J105,1,1),1,1)</f>
        <v>3.1544653088191215</v>
      </c>
      <c r="BP105" s="138">
        <f>INDEX(LINEST(BK45:BK105,'AC2'!$F45:$J105,1,1),1,1)</f>
        <v>-2.0680325071032373</v>
      </c>
      <c r="BQ105" s="138">
        <f>INDEX(LINEST(BC45:BC105,'AC2'!$F45:$J105,1,1),1,1)</f>
        <v>-1.0235329439187668</v>
      </c>
      <c r="BR105" s="138"/>
      <c r="BS105" s="138"/>
      <c r="BT105" s="138"/>
      <c r="BU105" s="138"/>
      <c r="BV105" s="138"/>
      <c r="BW105" s="138"/>
      <c r="BX105" s="138"/>
      <c r="BY105" s="138"/>
      <c r="BZ105" s="138"/>
      <c r="CA105" s="138"/>
      <c r="CB105" s="138"/>
      <c r="CC105" s="138"/>
      <c r="CD105" s="138"/>
      <c r="CE105" s="138"/>
      <c r="CF105" s="138"/>
      <c r="CG105" s="138"/>
      <c r="CH105" s="138"/>
      <c r="CI105" s="138"/>
      <c r="CJ105" s="138"/>
      <c r="CK105" s="343">
        <f>CK104*(1+BA105+'Risk Factors'!$J105)</f>
        <v>0.18025884520704813</v>
      </c>
      <c r="CL105" s="343">
        <f>CL104*(1+BB105+'Risk Factors'!$J105)</f>
        <v>1.1043304058305567</v>
      </c>
      <c r="CN105" s="343">
        <f t="shared" si="27"/>
        <v>0.14032411143207615</v>
      </c>
      <c r="CO105" s="343">
        <f t="shared" si="28"/>
        <v>0.85967588856792376</v>
      </c>
      <c r="CP105" s="418">
        <f t="shared" si="29"/>
        <v>1.2845892510376049</v>
      </c>
      <c r="CQ105" s="343">
        <f t="shared" si="31"/>
        <v>5.358775920788883E-2</v>
      </c>
      <c r="CS105" s="92"/>
      <c r="CT105" s="260"/>
      <c r="CU105" s="260"/>
      <c r="CV105" s="260"/>
      <c r="CW105" s="260"/>
      <c r="CX105" s="260"/>
      <c r="CY105" s="260"/>
      <c r="CZ105" s="260"/>
      <c r="DB105" s="325"/>
      <c r="DC105" s="92"/>
      <c r="DD105" s="92"/>
      <c r="DE105" s="260"/>
      <c r="DF105" s="260"/>
      <c r="DG105" s="260"/>
      <c r="DH105" s="260"/>
      <c r="DI105" s="260"/>
    </row>
    <row r="106" spans="6:113">
      <c r="F106" s="421">
        <v>43373</v>
      </c>
      <c r="G106" s="92">
        <f>IF(Portfolios!$G$16="yes",SUM(T106:X106),AX106)</f>
        <v>-9.0023600401373839E-3</v>
      </c>
      <c r="H106" s="138">
        <f>IF(IF(Portfolios!$J$10="no",'AC3'!Y106,'AC3'!AE106)=0,NA(),IF(Portfolios!$J$10="no",Y106,AE106))</f>
        <v>-0.75385267974003878</v>
      </c>
      <c r="I106" s="138">
        <f>IF(Portfolios!$J$11="no",NA(),IF(IF(Portfolios!$J$10="no",'AC3'!Z106,'AC3'!AF106)=0,NA(),IF(Portfolios!$J$10="no",Z106,AF106)))</f>
        <v>1.0494307865771404</v>
      </c>
      <c r="J106" s="138">
        <f>IF(Portfolios!$J$11="no",NA(),IF(IF(Portfolios!$J$10="no",'AC3'!AA106,'AC3'!AG106)=0,NA(),IF(Portfolios!$J$10="no",AA106,AG106)))</f>
        <v>-0.20798720866505993</v>
      </c>
      <c r="K106" s="138">
        <f>IF(Portfolios!$J$11="no",NA(),IF(IF(Portfolios!$J$10="no",'AC3'!AB106,'AC3'!AH106)=0,NA(),IF(Portfolios!$J$10="no",AB106,AH106)))</f>
        <v>-2.0510406991522618</v>
      </c>
      <c r="L106" s="138">
        <f>IF(Portfolios!$J$11="no",NA(),IF(IF(Portfolios!$J$10="no",'AC3'!AC106,'AC3'!AI106)=0,NA(),IF(Portfolios!$J$10="no",AC106,AI106)))</f>
        <v>-0.952497262493601</v>
      </c>
      <c r="M106" s="138">
        <f>IF(Portfolios!$J$11="no",NA(),IF(IF(Portfolios!$J$10="no",'AC3'!AD106,'AC3'!AJ106)=0,NA(),IF(Portfolios!$J$10="no",AD106,AJ106)))</f>
        <v>0.31532175481256125</v>
      </c>
      <c r="N106" s="92">
        <f>G106-'Risk Factors'!J106</f>
        <v>-1.0502360040137384E-2</v>
      </c>
      <c r="O106" s="260">
        <f>HLOOKUP(O$1,'Asset Returns'!$F$1:$N$109,ROW(),0)-'Risk Factors'!$J106</f>
        <v>7.8802539572333796E-2</v>
      </c>
      <c r="P106" s="260">
        <f>HLOOKUP(P$1,'Asset Returns'!$F$1:$N$109,ROW(),0)-'Risk Factors'!$J106</f>
        <v>-0.18336680930730148</v>
      </c>
      <c r="Q106" s="260">
        <f>HLOOKUP(Q$1,'Asset Returns'!$F$1:$N$109,ROW(),0)-'Risk Factors'!$J106</f>
        <v>-3.2703617410513808E-2</v>
      </c>
      <c r="R106" s="260">
        <f>HLOOKUP(R$1,'Asset Returns'!$F$1:$N$109,ROW(),0)-'Risk Factors'!$J106</f>
        <v>1.2023956723338504E-2</v>
      </c>
      <c r="S106" s="260">
        <f>HLOOKUP(S$1,'Asset Returns'!$F$1:$N$109,ROW(),0)-'Risk Factors'!$J106</f>
        <v>3.0789825697559892E-2</v>
      </c>
      <c r="T106" s="260">
        <f>HLOOKUP(T$1,'Asset Returns'!$F$1:$N$109,ROW(),0)*Portfolios!$G$10</f>
        <v>8.0302539572333805E-3</v>
      </c>
      <c r="U106" s="260">
        <f>HLOOKUP(U$1,'Asset Returns'!$F$1:$N$109,ROW(),0)*Portfolios!$G$11</f>
        <v>-1.8186680930730149E-2</v>
      </c>
      <c r="V106" s="260">
        <f>HLOOKUP(V$1,'Asset Returns'!$F$1:$N$109,ROW(),0)*Portfolios!$G$12</f>
        <v>-9.3610852231541409E-3</v>
      </c>
      <c r="W106" s="260">
        <f>HLOOKUP(W$1,'Asset Returns'!$F$1:$N$109,ROW(),0)*Portfolios!$G$13</f>
        <v>4.0571870170015506E-3</v>
      </c>
      <c r="X106" s="260">
        <f>HLOOKUP(X$1,'Asset Returns'!$F$1:$N$109,ROW(),0)*Portfolios!$G$14</f>
        <v>6.457965139511977E-3</v>
      </c>
      <c r="Y106" s="138">
        <f>Portfolios!$R$34</f>
        <v>-0.68211369708646341</v>
      </c>
      <c r="Z106" s="138">
        <f>Portfolios!$P$11</f>
        <v>0.9378377404978776</v>
      </c>
      <c r="AA106" s="138">
        <f>Portfolios!$P$12</f>
        <v>0.64097224418739052</v>
      </c>
      <c r="AB106" s="138">
        <f>Portfolios!$P$13</f>
        <v>-2.1312105104673718</v>
      </c>
      <c r="AC106" s="138">
        <f>Portfolios!$P$14</f>
        <v>-0.78557102570241866</v>
      </c>
      <c r="AD106" s="138">
        <f>Portfolios!$P$15</f>
        <v>0.17519882647973573</v>
      </c>
      <c r="AE106" s="183">
        <f>INDEX(LINEST(N46:N106,'AC2'!$F46:$J106,1,1),1,1)</f>
        <v>-0.75385267974003878</v>
      </c>
      <c r="AF106" s="183">
        <f>INDEX(LINEST(O46:O106,'AC2'!$F46:$J106,1,1),1,1)</f>
        <v>1.0494307865771404</v>
      </c>
      <c r="AG106" s="183">
        <f>INDEX(LINEST(P46:P106,'AC2'!$F46:$J106,1,1),1,1)</f>
        <v>-0.20798720866505993</v>
      </c>
      <c r="AH106" s="183">
        <f>INDEX(LINEST(Q46:Q106,'AC2'!$F46:$J106,1,1),1,1)</f>
        <v>-2.0510406991522618</v>
      </c>
      <c r="AI106" s="183">
        <f>INDEX(LINEST(R46:R106,'AC2'!$F46:$J106,1,1),1,1)</f>
        <v>-0.952497262493601</v>
      </c>
      <c r="AJ106" s="183">
        <f>INDEX(LINEST(S46:S106,'AC2'!$F46:$J106,1,1),1,1)</f>
        <v>0.31532175481256125</v>
      </c>
      <c r="AL106" s="343">
        <f>AL105*(1+O106+'Risk Factors'!$J106)</f>
        <v>0.12370424051322852</v>
      </c>
      <c r="AM106" s="343">
        <f>AM105*(1+P106+'Risk Factors'!$J106)</f>
        <v>9.7449035058077893E-2</v>
      </c>
      <c r="AN106" s="343">
        <f>AN105*(1+Q106+'Risk Factors'!$J106)</f>
        <v>0.35238169155832616</v>
      </c>
      <c r="AO106" s="343">
        <f>AO105*(1+R106+'Risk Factors'!$J106)</f>
        <v>0.56115479332830387</v>
      </c>
      <c r="AP106" s="343">
        <f>AP105*(1+S106+'Risk Factors'!$J106)</f>
        <v>0.29110105153809335</v>
      </c>
      <c r="AR106" s="343">
        <f t="shared" si="32"/>
        <v>8.6761844355027998E-2</v>
      </c>
      <c r="AS106" s="343">
        <f t="shared" si="33"/>
        <v>6.8347357998228733E-2</v>
      </c>
      <c r="AT106" s="343">
        <f t="shared" si="34"/>
        <v>0.24714824123814552</v>
      </c>
      <c r="AU106" s="343">
        <f t="shared" si="35"/>
        <v>0.39357442102093332</v>
      </c>
      <c r="AV106" s="343">
        <f t="shared" si="36"/>
        <v>0.20416813538766437</v>
      </c>
      <c r="AW106" s="418">
        <f t="shared" si="37"/>
        <v>1.4257908119960299</v>
      </c>
      <c r="AX106" s="343">
        <f t="shared" si="30"/>
        <v>-5.0407376538892379E-3</v>
      </c>
      <c r="AZ106" s="421">
        <v>43373</v>
      </c>
      <c r="BA106" s="92">
        <f>HLOOKUP(BA$1,'AC4'!$F$1:$AC$109,ROW(),0)*'Management and Hedging'!$G$10</f>
        <v>-3.1328600000000008E-3</v>
      </c>
      <c r="BB106" s="92">
        <f>HLOOKUP(BB$1,'AC4'!$F$1:$AC$109,ROW(),0)*'Management and Hedging'!$G$11</f>
        <v>-2.6162893928411049E-2</v>
      </c>
      <c r="BC106" s="92">
        <f>IF('Management and Hedging'!$G$13="yes",BA106+BB106,CQ106)</f>
        <v>-2.929575392841105E-2</v>
      </c>
      <c r="BD106" s="138">
        <f>IF(IF('Management and Hedging'!$J$10="no",BL106,BO106)=0,NA(),IF('Management and Hedging'!$J$10="no",BL106,BO106))</f>
        <v>3.1331162451729995</v>
      </c>
      <c r="BE106" s="138">
        <f>IF(IF('Management and Hedging'!$J$10="no",BM106,BP106)=0,NA(),IF('Management and Hedging'!$J$10="no",BM106,BP106))</f>
        <v>-2.0510406991522618</v>
      </c>
      <c r="BF106" s="138">
        <f>IF(IF('Management and Hedging'!$J$10="no",BN106,BQ106)=0,NA(),IF('Management and Hedging'!$J$10="no",BN106,BQ106))</f>
        <v>-1.0142093102872101</v>
      </c>
      <c r="BG106" s="92">
        <f>IF('Management and Hedging'!$G$13="yes",BH106+BI106,CQ106)</f>
        <v>-2.7795753928411045E-2</v>
      </c>
      <c r="BH106" s="92">
        <f>HLOOKUP(BH$1,'Asset Returns'!$F$1:$ZY$109,ROW(),0)*'Management and Hedging'!$G$10</f>
        <v>-2.8328600000000004E-3</v>
      </c>
      <c r="BI106" s="92">
        <f>HLOOKUP(BI$1,'Asset Returns'!$F$1:$ZY$109,ROW(),0)*'Management and Hedging'!$G$11</f>
        <v>-2.4962893928411046E-2</v>
      </c>
      <c r="BJ106" s="92">
        <f>HLOOKUP(BJ$1,'AC4'!$F$1:$AC$109,ROW(),0)</f>
        <v>-1.5664300000000003E-2</v>
      </c>
      <c r="BK106" s="92">
        <f>HLOOKUP(BK$1,'AC4'!$F$1:$AC$109,ROW(),0)</f>
        <v>-3.2703617410513808E-2</v>
      </c>
      <c r="BL106" s="138">
        <f ca="1">'Management and Hedging'!$R$34</f>
        <v>2.5919346055080732</v>
      </c>
      <c r="BM106" s="138">
        <f ca="1">'Management and Hedging'!$R$36</f>
        <v>-2.1312105104673718</v>
      </c>
      <c r="BN106" s="138">
        <f>'Management and Hedging'!$R$38</f>
        <v>-1.1865814872722835</v>
      </c>
      <c r="BO106" s="138">
        <f>INDEX(LINEST(BJ46:BJ106,'AC2'!$F46:$J106,1,1),1,1)</f>
        <v>3.1331162451729995</v>
      </c>
      <c r="BP106" s="138">
        <f>INDEX(LINEST(BK46:BK106,'AC2'!$F46:$J106,1,1),1,1)</f>
        <v>-2.0510406991522618</v>
      </c>
      <c r="BQ106" s="138">
        <f>INDEX(LINEST(BC46:BC106,'AC2'!$F46:$J106,1,1),1,1)</f>
        <v>-1.0142093102872101</v>
      </c>
      <c r="BR106" s="138"/>
      <c r="BS106" s="138"/>
      <c r="BT106" s="138"/>
      <c r="BU106" s="138"/>
      <c r="BV106" s="138"/>
      <c r="BW106" s="138"/>
      <c r="BX106" s="138"/>
      <c r="BY106" s="138"/>
      <c r="BZ106" s="138"/>
      <c r="CA106" s="138"/>
      <c r="CB106" s="138"/>
      <c r="CC106" s="138"/>
      <c r="CD106" s="138"/>
      <c r="CE106" s="138"/>
      <c r="CF106" s="138"/>
      <c r="CG106" s="138"/>
      <c r="CH106" s="138"/>
      <c r="CI106" s="138"/>
      <c r="CJ106" s="138"/>
      <c r="CK106" s="343">
        <f>CK105*(1+BA106+'Risk Factors'!$J106)</f>
        <v>0.17996450774906333</v>
      </c>
      <c r="CL106" s="343">
        <f>CL105*(1+BB106+'Risk Factors'!$J106)</f>
        <v>1.0770944221696386</v>
      </c>
      <c r="CN106" s="343">
        <f t="shared" si="27"/>
        <v>0.14316314332272573</v>
      </c>
      <c r="CO106" s="343">
        <f t="shared" si="28"/>
        <v>0.85683685667727438</v>
      </c>
      <c r="CP106" s="418">
        <f t="shared" si="29"/>
        <v>1.2570589299187018</v>
      </c>
      <c r="CQ106" s="343">
        <f t="shared" si="31"/>
        <v>-2.1431224881156341E-2</v>
      </c>
      <c r="CS106" s="92"/>
      <c r="CT106" s="260"/>
      <c r="CU106" s="260"/>
      <c r="CV106" s="260"/>
      <c r="CW106" s="260"/>
      <c r="CX106" s="260"/>
      <c r="CY106" s="260"/>
      <c r="CZ106" s="260"/>
      <c r="DB106" s="325"/>
      <c r="DC106" s="92"/>
      <c r="DD106" s="92"/>
      <c r="DE106" s="260"/>
      <c r="DF106" s="260"/>
      <c r="DG106" s="260"/>
      <c r="DH106" s="260"/>
      <c r="DI106" s="260"/>
    </row>
    <row r="107" spans="6:113">
      <c r="F107" s="421">
        <v>43404</v>
      </c>
      <c r="G107" s="92">
        <f>IF(Portfolios!$G$16="yes",SUM(T107:X107),AX107)</f>
        <v>-0.11480778274718156</v>
      </c>
      <c r="H107" s="138">
        <f>IF(IF(Portfolios!$J$10="no",'AC3'!Y107,'AC3'!AE107)=0,NA(),IF(Portfolios!$J$10="no",Y107,AE107))</f>
        <v>-0.63566612687444057</v>
      </c>
      <c r="I107" s="138">
        <f>IF(Portfolios!$J$11="no",NA(),IF(IF(Portfolios!$J$10="no",'AC3'!Z107,'AC3'!AF107)=0,NA(),IF(Portfolios!$J$10="no",Z107,AF107)))</f>
        <v>0.9955796513584928</v>
      </c>
      <c r="J107" s="138">
        <f>IF(Portfolios!$J$11="no",NA(),IF(IF(Portfolios!$J$10="no",'AC3'!AA107,'AC3'!AG107)=0,NA(),IF(Portfolios!$J$10="no",AA107,AG107)))</f>
        <v>-0.13070644267326212</v>
      </c>
      <c r="K107" s="138">
        <f>IF(Portfolios!$J$11="no",NA(),IF(IF(Portfolios!$J$10="no",'AC3'!AB107,'AC3'!AH107)=0,NA(),IF(Portfolios!$J$10="no",AB107,AH107)))</f>
        <v>-1.6486890673103949</v>
      </c>
      <c r="L107" s="138">
        <f>IF(Portfolios!$J$11="no",NA(),IF(IF(Portfolios!$J$10="no",'AC3'!AC107,'AC3'!AI107)=0,NA(),IF(Portfolios!$J$10="no",AC107,AI107)))</f>
        <v>-0.96379702437234749</v>
      </c>
      <c r="M107" s="138">
        <f>IF(Portfolios!$J$11="no",NA(),IF(IF(Portfolios!$J$10="no",'AC3'!AD107,'AC3'!AJ107)=0,NA(),IF(Portfolios!$J$10="no",AD107,AJ107)))</f>
        <v>0.30796189880929453</v>
      </c>
      <c r="N107" s="92">
        <f>G107-'Risk Factors'!J107</f>
        <v>-0.11670778274718156</v>
      </c>
      <c r="O107" s="260">
        <f>HLOOKUP(O$1,'Asset Returns'!$F$1:$N$109,ROW(),0)-'Risk Factors'!$J107</f>
        <v>-5.8647514949071486E-2</v>
      </c>
      <c r="P107" s="260">
        <f>HLOOKUP(P$1,'Asset Returns'!$F$1:$N$109,ROW(),0)-'Risk Factors'!$J107</f>
        <v>-0.21700297482837527</v>
      </c>
      <c r="Q107" s="260">
        <f>HLOOKUP(Q$1,'Asset Returns'!$F$1:$N$109,ROW(),0)-'Risk Factors'!$J107</f>
        <v>-7.4654480350589733E-2</v>
      </c>
      <c r="R107" s="260">
        <f>HLOOKUP(R$1,'Asset Returns'!$F$1:$N$109,ROW(),0)-'Risk Factors'!$J107</f>
        <v>-6.347072054898982E-2</v>
      </c>
      <c r="S107" s="260">
        <f>HLOOKUP(S$1,'Asset Returns'!$F$1:$N$109,ROW(),0)-'Risk Factors'!$J107</f>
        <v>-0.23852586749781512</v>
      </c>
      <c r="T107" s="260">
        <f>HLOOKUP(T$1,'Asset Returns'!$F$1:$N$109,ROW(),0)*Portfolios!$G$10</f>
        <v>-5.6747514949071487E-3</v>
      </c>
      <c r="U107" s="260">
        <f>HLOOKUP(U$1,'Asset Returns'!$F$1:$N$109,ROW(),0)*Portfolios!$G$11</f>
        <v>-2.1510297482837528E-2</v>
      </c>
      <c r="V107" s="260">
        <f>HLOOKUP(V$1,'Asset Returns'!$F$1:$N$109,ROW(),0)*Portfolios!$G$12</f>
        <v>-2.182634410517692E-2</v>
      </c>
      <c r="W107" s="260">
        <f>HLOOKUP(W$1,'Asset Returns'!$F$1:$N$109,ROW(),0)*Portfolios!$G$13</f>
        <v>-1.8471216164696946E-2</v>
      </c>
      <c r="X107" s="260">
        <f>HLOOKUP(X$1,'Asset Returns'!$F$1:$N$109,ROW(),0)*Portfolios!$G$14</f>
        <v>-4.7325173499563014E-2</v>
      </c>
      <c r="Y107" s="138">
        <f>Portfolios!$R$34</f>
        <v>-0.68211369708646341</v>
      </c>
      <c r="Z107" s="138">
        <f>Portfolios!$P$11</f>
        <v>0.9378377404978776</v>
      </c>
      <c r="AA107" s="138">
        <f>Portfolios!$P$12</f>
        <v>0.64097224418739052</v>
      </c>
      <c r="AB107" s="138">
        <f>Portfolios!$P$13</f>
        <v>-2.1312105104673718</v>
      </c>
      <c r="AC107" s="138">
        <f>Portfolios!$P$14</f>
        <v>-0.78557102570241866</v>
      </c>
      <c r="AD107" s="138">
        <f>Portfolios!$P$15</f>
        <v>0.17519882647973573</v>
      </c>
      <c r="AE107" s="183">
        <f>INDEX(LINEST(N47:N107,'AC2'!$F47:$J107,1,1),1,1)</f>
        <v>-0.63566612687444057</v>
      </c>
      <c r="AF107" s="183">
        <f>INDEX(LINEST(O47:O107,'AC2'!$F47:$J107,1,1),1,1)</f>
        <v>0.9955796513584928</v>
      </c>
      <c r="AG107" s="183">
        <f>INDEX(LINEST(P47:P107,'AC2'!$F47:$J107,1,1),1,1)</f>
        <v>-0.13070644267326212</v>
      </c>
      <c r="AH107" s="183">
        <f>INDEX(LINEST(Q47:Q107,'AC2'!$F47:$J107,1,1),1,1)</f>
        <v>-1.6486890673103949</v>
      </c>
      <c r="AI107" s="183">
        <f>INDEX(LINEST(R47:R107,'AC2'!$F47:$J107,1,1),1,1)</f>
        <v>-0.96379702437234749</v>
      </c>
      <c r="AJ107" s="183">
        <f>INDEX(LINEST(S47:S107,'AC2'!$F47:$J107,1,1),1,1)</f>
        <v>0.30796189880929453</v>
      </c>
      <c r="AL107" s="343">
        <f>AL106*(1+O107+'Risk Factors'!$J107)</f>
        <v>0.11668433227544055</v>
      </c>
      <c r="AM107" s="343">
        <f>AM106*(1+P107+'Risk Factors'!$J107)</f>
        <v>7.648745772293071E-2</v>
      </c>
      <c r="AN107" s="343">
        <f>AN106*(1+Q107+'Risk Factors'!$J107)</f>
        <v>0.32674434470393837</v>
      </c>
      <c r="AO107" s="343">
        <f>AO106*(1+R107+'Risk Factors'!$J107)</f>
        <v>0.52660408836356076</v>
      </c>
      <c r="AP107" s="343">
        <f>AP106*(1+S107+'Risk Factors'!$J107)</f>
        <v>0.22221901268836583</v>
      </c>
      <c r="AR107" s="343">
        <f t="shared" si="32"/>
        <v>9.1968726896094144E-2</v>
      </c>
      <c r="AS107" s="343">
        <f t="shared" si="33"/>
        <v>6.0286192440056986E-2</v>
      </c>
      <c r="AT107" s="343">
        <f t="shared" si="34"/>
        <v>0.2575346733954329</v>
      </c>
      <c r="AU107" s="343">
        <f t="shared" si="35"/>
        <v>0.4150609309804365</v>
      </c>
      <c r="AV107" s="343">
        <f t="shared" si="36"/>
        <v>0.1751494762879795</v>
      </c>
      <c r="AW107" s="418">
        <f t="shared" si="37"/>
        <v>1.2687392357542362</v>
      </c>
      <c r="AX107" s="343">
        <f t="shared" si="30"/>
        <v>-0.11015050379089619</v>
      </c>
      <c r="AZ107" s="421">
        <v>43404</v>
      </c>
      <c r="BA107" s="92">
        <f>HLOOKUP(BA$1,'AC4'!$F$1:$AC$109,ROW(),0)*'Management and Hedging'!$G$10</f>
        <v>-1.2448960000000002E-2</v>
      </c>
      <c r="BB107" s="92">
        <f>HLOOKUP(BB$1,'AC4'!$F$1:$AC$109,ROW(),0)*'Management and Hedging'!$G$11</f>
        <v>-5.9723584280471788E-2</v>
      </c>
      <c r="BC107" s="92">
        <f>IF('Management and Hedging'!$G$13="yes",BA107+BB107,CQ107)</f>
        <v>-7.217254428047179E-2</v>
      </c>
      <c r="BD107" s="138">
        <f>IF(IF('Management and Hedging'!$J$10="no",BL107,BO107)=0,NA(),IF('Management and Hedging'!$J$10="no",BL107,BO107))</f>
        <v>2.9414240492701773</v>
      </c>
      <c r="BE107" s="138">
        <f>IF(IF('Management and Hedging'!$J$10="no",BM107,BP107)=0,NA(),IF('Management and Hedging'!$J$10="no",BM107,BP107))</f>
        <v>-1.6486890673103949</v>
      </c>
      <c r="BF107" s="138">
        <f>IF(IF('Management and Hedging'!$J$10="no",BN107,BQ107)=0,NA(),IF('Management and Hedging'!$J$10="no",BN107,BQ107))</f>
        <v>-0.7306664439942796</v>
      </c>
      <c r="BG107" s="92">
        <f>IF('Management and Hedging'!$G$13="yes",BH107+BI107,CQ107)</f>
        <v>-7.0272544280471791E-2</v>
      </c>
      <c r="BH107" s="92">
        <f>HLOOKUP(BH$1,'Asset Returns'!$F$1:$ZY$109,ROW(),0)*'Management and Hedging'!$G$10</f>
        <v>-1.2068960000000002E-2</v>
      </c>
      <c r="BI107" s="92">
        <f>HLOOKUP(BI$1,'Asset Returns'!$F$1:$ZY$109,ROW(),0)*'Management and Hedging'!$G$11</f>
        <v>-5.8203584280471787E-2</v>
      </c>
      <c r="BJ107" s="92">
        <f>HLOOKUP(BJ$1,'AC4'!$F$1:$AC$109,ROW(),0)</f>
        <v>-6.2244800000000003E-2</v>
      </c>
      <c r="BK107" s="92">
        <f>HLOOKUP(BK$1,'AC4'!$F$1:$AC$109,ROW(),0)</f>
        <v>-7.4654480350589733E-2</v>
      </c>
      <c r="BL107" s="138">
        <f ca="1">'Management and Hedging'!$R$34</f>
        <v>2.5919346055080732</v>
      </c>
      <c r="BM107" s="138">
        <f ca="1">'Management and Hedging'!$R$36</f>
        <v>-2.1312105104673718</v>
      </c>
      <c r="BN107" s="138">
        <f>'Management and Hedging'!$R$38</f>
        <v>-1.1865814872722835</v>
      </c>
      <c r="BO107" s="138">
        <f>INDEX(LINEST(BJ47:BJ107,'AC2'!$F47:$J107,1,1),1,1)</f>
        <v>2.9414240492701773</v>
      </c>
      <c r="BP107" s="138">
        <f>INDEX(LINEST(BK47:BK107,'AC2'!$F47:$J107,1,1),1,1)</f>
        <v>-1.6486890673103949</v>
      </c>
      <c r="BQ107" s="138">
        <f>INDEX(LINEST(BC47:BC107,'AC2'!$F47:$J107,1,1),1,1)</f>
        <v>-0.7306664439942796</v>
      </c>
      <c r="BR107" s="138"/>
      <c r="BS107" s="138"/>
      <c r="BT107" s="138"/>
      <c r="BU107" s="138"/>
      <c r="BV107" s="138"/>
      <c r="BW107" s="138"/>
      <c r="BX107" s="138"/>
      <c r="BY107" s="138"/>
      <c r="BZ107" s="138"/>
      <c r="CA107" s="138"/>
      <c r="CB107" s="138"/>
      <c r="CC107" s="138"/>
      <c r="CD107" s="138"/>
      <c r="CE107" s="138"/>
      <c r="CF107" s="138"/>
      <c r="CG107" s="138"/>
      <c r="CH107" s="138"/>
      <c r="CI107" s="138"/>
      <c r="CJ107" s="138"/>
      <c r="CK107" s="343">
        <f>CK106*(1+BA107+'Risk Factors'!$J107)</f>
        <v>0.17806606935539879</v>
      </c>
      <c r="CL107" s="343">
        <f>CL106*(1+BB107+'Risk Factors'!$J107)</f>
        <v>1.0148129620712865</v>
      </c>
      <c r="CN107" s="343">
        <f t="shared" si="27"/>
        <v>0.14927420523305826</v>
      </c>
      <c r="CO107" s="343">
        <f t="shared" si="28"/>
        <v>0.85072579476694166</v>
      </c>
      <c r="CP107" s="418">
        <f t="shared" si="29"/>
        <v>1.1928790314266853</v>
      </c>
      <c r="CQ107" s="343">
        <f t="shared" si="31"/>
        <v>-5.1055600469078422E-2</v>
      </c>
      <c r="CS107" s="92"/>
      <c r="CT107" s="260"/>
      <c r="CU107" s="260"/>
      <c r="CV107" s="260"/>
      <c r="CW107" s="260"/>
      <c r="CX107" s="260"/>
      <c r="CY107" s="260"/>
      <c r="CZ107" s="260"/>
      <c r="DB107" s="325"/>
      <c r="DC107" s="92"/>
      <c r="DD107" s="92"/>
      <c r="DE107" s="260"/>
      <c r="DF107" s="260"/>
      <c r="DG107" s="260"/>
      <c r="DH107" s="260"/>
      <c r="DI107" s="260"/>
    </row>
    <row r="108" spans="6:113">
      <c r="F108" s="421">
        <v>43434</v>
      </c>
      <c r="G108" s="92">
        <f>IF(Portfolios!$G$16="yes",SUM(T108:X108),AX108)</f>
        <v>7.6425224265399591E-2</v>
      </c>
      <c r="H108" s="138">
        <f>IF(IF(Portfolios!$J$10="no",'AC3'!Y108,'AC3'!AE108)=0,NA(),IF(Portfolios!$J$10="no",Y108,AE108))</f>
        <v>-0.57150002675470335</v>
      </c>
      <c r="I108" s="138">
        <f>IF(Portfolios!$J$11="no",NA(),IF(IF(Portfolios!$J$10="no",'AC3'!Z108,'AC3'!AF108)=0,NA(),IF(Portfolios!$J$10="no",Z108,AF108)))</f>
        <v>0.93120345458301479</v>
      </c>
      <c r="J108" s="138">
        <f>IF(Portfolios!$J$11="no",NA(),IF(IF(Portfolios!$J$10="no",'AC3'!AA108,'AC3'!AG108)=0,NA(),IF(Portfolios!$J$10="no",AA108,AG108)))</f>
        <v>-0.11282400921132976</v>
      </c>
      <c r="K108" s="138">
        <f>IF(Portfolios!$J$11="no",NA(),IF(IF(Portfolios!$J$10="no",'AC3'!AB108,'AC3'!AH108)=0,NA(),IF(Portfolios!$J$10="no",AB108,AH108)))</f>
        <v>-1.5128431300450775</v>
      </c>
      <c r="L108" s="138">
        <f>IF(Portfolios!$J$11="no",NA(),IF(IF(Portfolios!$J$10="no",'AC3'!AC108,'AC3'!AI108)=0,NA(),IF(Portfolios!$J$10="no",AC108,AI108)))</f>
        <v>-0.92788032793440134</v>
      </c>
      <c r="M108" s="138">
        <f>IF(Portfolios!$J$11="no",NA(),IF(IF(Portfolios!$J$10="no",'AC3'!AD108,'AC3'!AJ108)=0,NA(),IF(Portfolios!$J$10="no",AD108,AJ108)))</f>
        <v>0.39439533050985759</v>
      </c>
      <c r="N108" s="92">
        <f>G108-'Risk Factors'!J108</f>
        <v>7.4625224265399595E-2</v>
      </c>
      <c r="O108" s="260">
        <f>HLOOKUP(O$1,'Asset Returns'!$F$1:$N$109,ROW(),0)-'Risk Factors'!$J108</f>
        <v>-7.2619242747742313E-2</v>
      </c>
      <c r="P108" s="260">
        <f>HLOOKUP(P$1,'Asset Returns'!$F$1:$N$109,ROW(),0)-'Risk Factors'!$J108</f>
        <v>1.6942190753852528E-2</v>
      </c>
      <c r="Q108" s="260">
        <f>HLOOKUP(Q$1,'Asset Returns'!$F$1:$N$109,ROW(),0)-'Risk Factors'!$J108</f>
        <v>0.18797905859750233</v>
      </c>
      <c r="R108" s="260">
        <f>HLOOKUP(R$1,'Asset Returns'!$F$1:$N$109,ROW(),0)-'Risk Factors'!$J108</f>
        <v>2.0340970952671202E-2</v>
      </c>
      <c r="S108" s="260">
        <f>HLOOKUP(S$1,'Asset Returns'!$F$1:$N$109,ROW(),0)-'Risk Factors'!$J108</f>
        <v>8.8484602998682577E-2</v>
      </c>
      <c r="T108" s="260">
        <f>HLOOKUP(T$1,'Asset Returns'!$F$1:$N$109,ROW(),0)*Portfolios!$G$10</f>
        <v>-7.0819242747742319E-3</v>
      </c>
      <c r="U108" s="260">
        <f>HLOOKUP(U$1,'Asset Returns'!$F$1:$N$109,ROW(),0)*Portfolios!$G$11</f>
        <v>1.8742190753852528E-3</v>
      </c>
      <c r="V108" s="260">
        <f>HLOOKUP(V$1,'Asset Returns'!$F$1:$N$109,ROW(),0)*Portfolios!$G$12</f>
        <v>5.6933717579250698E-2</v>
      </c>
      <c r="W108" s="260">
        <f>HLOOKUP(W$1,'Asset Returns'!$F$1:$N$109,ROW(),0)*Portfolios!$G$13</f>
        <v>6.6422912858013607E-3</v>
      </c>
      <c r="X108" s="260">
        <f>HLOOKUP(X$1,'Asset Returns'!$F$1:$N$109,ROW(),0)*Portfolios!$G$14</f>
        <v>1.8056920599736511E-2</v>
      </c>
      <c r="Y108" s="138">
        <f>Portfolios!$R$34</f>
        <v>-0.68211369708646341</v>
      </c>
      <c r="Z108" s="138">
        <f>Portfolios!$P$11</f>
        <v>0.9378377404978776</v>
      </c>
      <c r="AA108" s="138">
        <f>Portfolios!$P$12</f>
        <v>0.64097224418739052</v>
      </c>
      <c r="AB108" s="138">
        <f>Portfolios!$P$13</f>
        <v>-2.1312105104673718</v>
      </c>
      <c r="AC108" s="138">
        <f>Portfolios!$P$14</f>
        <v>-0.78557102570241866</v>
      </c>
      <c r="AD108" s="138">
        <f>Portfolios!$P$15</f>
        <v>0.17519882647973573</v>
      </c>
      <c r="AE108" s="183">
        <f>INDEX(LINEST(N48:N108,'AC2'!$F48:$J108,1,1),1,1)</f>
        <v>-0.57150002675470335</v>
      </c>
      <c r="AF108" s="183">
        <f>INDEX(LINEST(O48:O108,'AC2'!$F48:$J108,1,1),1,1)</f>
        <v>0.93120345458301479</v>
      </c>
      <c r="AG108" s="183">
        <f>INDEX(LINEST(P48:P108,'AC2'!$F48:$J108,1,1),1,1)</f>
        <v>-0.11282400921132976</v>
      </c>
      <c r="AH108" s="183">
        <f>INDEX(LINEST(Q48:Q108,'AC2'!$F48:$J108,1,1),1,1)</f>
        <v>-1.5128431300450775</v>
      </c>
      <c r="AI108" s="183">
        <f>INDEX(LINEST(R48:R108,'AC2'!$F48:$J108,1,1),1,1)</f>
        <v>-0.92788032793440134</v>
      </c>
      <c r="AJ108" s="183">
        <f>INDEX(LINEST(S48:S108,'AC2'!$F48:$J108,1,1),1,1)</f>
        <v>0.39439533050985759</v>
      </c>
      <c r="AL108" s="343">
        <f>AL107*(1+O108+'Risk Factors'!$J108)</f>
        <v>0.10842083622316789</v>
      </c>
      <c r="AM108" s="343">
        <f>AM107*(1+P108+'Risk Factors'!$J108)</f>
        <v>7.7921000245851108E-2</v>
      </c>
      <c r="AN108" s="343">
        <f>AN107*(1+Q108+'Risk Factors'!$J108)</f>
        <v>0.3887535788439096</v>
      </c>
      <c r="AO108" s="343">
        <f>AO107*(1+R108+'Risk Factors'!$J108)</f>
        <v>0.53826361418757629</v>
      </c>
      <c r="AP108" s="343">
        <f>AP107*(1+S108+'Risk Factors'!$J108)</f>
        <v>0.24228196802769414</v>
      </c>
      <c r="AR108" s="343">
        <f t="shared" si="32"/>
        <v>7.9977543037468221E-2</v>
      </c>
      <c r="AS108" s="343">
        <f t="shared" si="33"/>
        <v>5.7479082137474415E-2</v>
      </c>
      <c r="AT108" s="343">
        <f t="shared" si="34"/>
        <v>0.28676735179353635</v>
      </c>
      <c r="AU108" s="343">
        <f t="shared" si="35"/>
        <v>0.39705468864471966</v>
      </c>
      <c r="AV108" s="343">
        <f t="shared" si="36"/>
        <v>0.17872133438680129</v>
      </c>
      <c r="AW108" s="418">
        <f t="shared" si="37"/>
        <v>1.3556409975281991</v>
      </c>
      <c r="AX108" s="343">
        <f t="shared" si="30"/>
        <v>6.8494580544994133E-2</v>
      </c>
      <c r="AZ108" s="421">
        <v>43434</v>
      </c>
      <c r="BA108" s="92">
        <f>HLOOKUP(BA$1,'AC4'!$F$1:$AC$109,ROW(),0)*'Management and Hedging'!$G$10</f>
        <v>-1.259242E-2</v>
      </c>
      <c r="BB108" s="92">
        <f>HLOOKUP(BB$1,'AC4'!$F$1:$AC$109,ROW(),0)*'Management and Hedging'!$G$11</f>
        <v>0.15038324687800186</v>
      </c>
      <c r="BC108" s="92">
        <f>IF('Management and Hedging'!$G$13="yes",BA108+BB108,CQ108)</f>
        <v>0.13779082687800187</v>
      </c>
      <c r="BD108" s="138">
        <f>IF(IF('Management and Hedging'!$J$10="no",BL108,BO108)=0,NA(),IF('Management and Hedging'!$J$10="no",BL108,BO108))</f>
        <v>2.8907196771801451</v>
      </c>
      <c r="BE108" s="138">
        <f>IF(IF('Management and Hedging'!$J$10="no",BM108,BP108)=0,NA(),IF('Management and Hedging'!$J$10="no",BM108,BP108))</f>
        <v>-1.5128431300450775</v>
      </c>
      <c r="BF108" s="138">
        <f>IF(IF('Management and Hedging'!$J$10="no",BN108,BQ108)=0,NA(),IF('Management and Hedging'!$J$10="no",BN108,BQ108))</f>
        <v>-0.63213056860003336</v>
      </c>
      <c r="BG108" s="92">
        <f>IF('Management and Hedging'!$G$13="yes",BH108+BI108,CQ108)</f>
        <v>0.13959082687800187</v>
      </c>
      <c r="BH108" s="92">
        <f>HLOOKUP(BH$1,'Asset Returns'!$F$1:$ZY$109,ROW(),0)*'Management and Hedging'!$G$10</f>
        <v>-1.2232420000000001E-2</v>
      </c>
      <c r="BI108" s="92">
        <f>HLOOKUP(BI$1,'Asset Returns'!$F$1:$ZY$109,ROW(),0)*'Management and Hedging'!$G$11</f>
        <v>0.15182324687800186</v>
      </c>
      <c r="BJ108" s="92">
        <f>HLOOKUP(BJ$1,'AC4'!$F$1:$AC$109,ROW(),0)</f>
        <v>-6.2962099999999993E-2</v>
      </c>
      <c r="BK108" s="92">
        <f>HLOOKUP(BK$1,'AC4'!$F$1:$AC$109,ROW(),0)</f>
        <v>0.18797905859750233</v>
      </c>
      <c r="BL108" s="138">
        <f ca="1">'Management and Hedging'!$R$34</f>
        <v>2.5919346055080732</v>
      </c>
      <c r="BM108" s="138">
        <f ca="1">'Management and Hedging'!$R$36</f>
        <v>-2.1312105104673718</v>
      </c>
      <c r="BN108" s="138">
        <f>'Management and Hedging'!$R$38</f>
        <v>-1.1865814872722835</v>
      </c>
      <c r="BO108" s="138">
        <f>INDEX(LINEST(BJ48:BJ108,'AC2'!$F48:$J108,1,1),1,1)</f>
        <v>2.8907196771801451</v>
      </c>
      <c r="BP108" s="138">
        <f>INDEX(LINEST(BK48:BK108,'AC2'!$F48:$J108,1,1),1,1)</f>
        <v>-1.5128431300450775</v>
      </c>
      <c r="BQ108" s="138">
        <f>INDEX(LINEST(BC48:BC108,'AC2'!$F48:$J108,1,1),1,1)</f>
        <v>-0.63213056860003336</v>
      </c>
      <c r="BR108" s="138"/>
      <c r="BS108" s="138"/>
      <c r="BT108" s="138"/>
      <c r="BU108" s="138"/>
      <c r="BV108" s="138"/>
      <c r="BW108" s="138"/>
      <c r="BX108" s="138"/>
      <c r="BY108" s="138"/>
      <c r="BZ108" s="138"/>
      <c r="CA108" s="138"/>
      <c r="CB108" s="138"/>
      <c r="CC108" s="138"/>
      <c r="CD108" s="138"/>
      <c r="CE108" s="138"/>
      <c r="CF108" s="138"/>
      <c r="CG108" s="138"/>
      <c r="CH108" s="138"/>
      <c r="CI108" s="138"/>
      <c r="CJ108" s="138"/>
      <c r="CK108" s="343">
        <f>CK107*(1+BA108+'Risk Factors'!$J108)</f>
        <v>0.1761443055471662</v>
      </c>
      <c r="CL108" s="343">
        <f>CL107*(1+BB108+'Risk Factors'!$J108)</f>
        <v>1.1692504936131773</v>
      </c>
      <c r="CN108" s="343">
        <f t="shared" si="27"/>
        <v>0.13092387874332301</v>
      </c>
      <c r="CO108" s="343">
        <f t="shared" si="28"/>
        <v>0.8690761212566771</v>
      </c>
      <c r="CP108" s="418">
        <f t="shared" si="29"/>
        <v>1.3453947991603434</v>
      </c>
      <c r="CQ108" s="343">
        <f t="shared" si="31"/>
        <v>0.12785518373246041</v>
      </c>
      <c r="CS108" s="92"/>
      <c r="CT108" s="260"/>
      <c r="CU108" s="260"/>
      <c r="CV108" s="260"/>
      <c r="CW108" s="260"/>
      <c r="CX108" s="260"/>
      <c r="CY108" s="260"/>
      <c r="CZ108" s="260"/>
      <c r="DB108" s="325"/>
      <c r="DC108" s="92"/>
      <c r="DD108" s="92"/>
      <c r="DE108" s="260"/>
      <c r="DF108" s="260"/>
      <c r="DG108" s="260"/>
      <c r="DH108" s="260"/>
      <c r="DI108" s="260"/>
    </row>
    <row r="109" spans="6:113">
      <c r="F109" s="421">
        <v>43465</v>
      </c>
      <c r="G109" s="92">
        <f>IF(Portfolios!$G$16="yes",SUM(T109:X109),AX109)</f>
        <v>-2.62677514160439E-2</v>
      </c>
      <c r="H109" s="138">
        <f>IF(IF(Portfolios!$J$10="no",'AC3'!Y109,'AC3'!AE109)=0,NA(),IF(Portfolios!$J$10="no",Y109,AE109))</f>
        <v>-0.48897997625320422</v>
      </c>
      <c r="I109" s="138">
        <f>IF(Portfolios!$J$11="no",NA(),IF(IF(Portfolios!$J$10="no",'AC3'!Z109,'AC3'!AF109)=0,NA(),IF(Portfolios!$J$10="no",Z109,AF109)))</f>
        <v>0.96661625783434424</v>
      </c>
      <c r="J109" s="138">
        <f>IF(Portfolios!$J$11="no",NA(),IF(IF(Portfolios!$J$10="no",'AC3'!AA109,'AC3'!AG109)=0,NA(),IF(Portfolios!$J$10="no",AA109,AG109)))</f>
        <v>0.20186849769460127</v>
      </c>
      <c r="K109" s="138">
        <f>IF(Portfolios!$J$11="no",NA(),IF(IF(Portfolios!$J$10="no",'AC3'!AB109,'AC3'!AH109)=0,NA(),IF(Portfolios!$J$10="no",AB109,AH109)))</f>
        <v>-1.3250020382789183</v>
      </c>
      <c r="L109" s="138">
        <f>IF(Portfolios!$J$11="no",NA(),IF(IF(Portfolios!$J$10="no",'AC3'!AC109,'AC3'!AI109)=0,NA(),IF(Portfolios!$J$10="no",AC109,AI109)))</f>
        <v>-0.96281055275183647</v>
      </c>
      <c r="M109" s="138">
        <f>IF(Portfolios!$J$11="no",NA(),IF(IF(Portfolios!$J$10="no",'AC3'!AD109,'AC3'!AJ109)=0,NA(),IF(Portfolios!$J$10="no",AD109,AJ109)))</f>
        <v>0.40257662751563678</v>
      </c>
      <c r="N109" s="92">
        <f>G109-'Risk Factors'!J109</f>
        <v>-2.8167751416043899E-2</v>
      </c>
      <c r="O109" s="260">
        <f>HLOOKUP(O$1,'Asset Returns'!$F$1:$N$109,ROW(),0)-'Risk Factors'!$J109</f>
        <v>-4.9869404849249052E-2</v>
      </c>
      <c r="P109" s="260">
        <f>HLOOKUP(P$1,'Asset Returns'!$F$1:$N$109,ROW(),0)-'Risk Factors'!$J109</f>
        <v>5.5298446443165119E-4</v>
      </c>
      <c r="Q109" s="260">
        <f>HLOOKUP(Q$1,'Asset Returns'!$F$1:$N$109,ROW(),0)-'Risk Factors'!$J109</f>
        <v>8.0147396977135032E-3</v>
      </c>
      <c r="R109" s="260">
        <f>HLOOKUP(R$1,'Asset Returns'!$F$1:$N$109,ROW(),0)-'Risk Factors'!$J109</f>
        <v>-2.7337201907790196E-2</v>
      </c>
      <c r="S109" s="260">
        <f>HLOOKUP(S$1,'Asset Returns'!$F$1:$N$109,ROW(),0)-'Risk Factors'!$J109</f>
        <v>-8.7196853572695784E-2</v>
      </c>
      <c r="T109" s="260">
        <f>HLOOKUP(T$1,'Asset Returns'!$F$1:$N$109,ROW(),0)*Portfolios!$G$10</f>
        <v>-4.7969404849249053E-3</v>
      </c>
      <c r="U109" s="260">
        <f>HLOOKUP(U$1,'Asset Returns'!$F$1:$N$109,ROW(),0)*Portfolios!$G$11</f>
        <v>2.4529844644316512E-4</v>
      </c>
      <c r="V109" s="260">
        <f>HLOOKUP(V$1,'Asset Returns'!$F$1:$N$109,ROW(),0)*Portfolios!$G$12</f>
        <v>2.9744219093140512E-3</v>
      </c>
      <c r="W109" s="260">
        <f>HLOOKUP(W$1,'Asset Returns'!$F$1:$N$109,ROW(),0)*Portfolios!$G$13</f>
        <v>-7.6311605723370585E-3</v>
      </c>
      <c r="X109" s="260">
        <f>HLOOKUP(X$1,'Asset Returns'!$F$1:$N$109,ROW(),0)*Portfolios!$G$14</f>
        <v>-1.7059370714539154E-2</v>
      </c>
      <c r="Y109" s="138">
        <f>Portfolios!$R$34</f>
        <v>-0.68211369708646341</v>
      </c>
      <c r="Z109" s="138">
        <f>Portfolios!$P$11</f>
        <v>0.9378377404978776</v>
      </c>
      <c r="AA109" s="138">
        <f>Portfolios!$P$12</f>
        <v>0.64097224418739052</v>
      </c>
      <c r="AB109" s="138">
        <f>Portfolios!$P$13</f>
        <v>-2.1312105104673718</v>
      </c>
      <c r="AC109" s="138">
        <f>Portfolios!$P$14</f>
        <v>-0.78557102570241866</v>
      </c>
      <c r="AD109" s="138">
        <f>Portfolios!$P$15</f>
        <v>0.17519882647973573</v>
      </c>
      <c r="AE109" s="183">
        <f>INDEX(LINEST(N49:N109,'AC2'!$F49:$J109,1,1),1,1)</f>
        <v>-0.48897997625320422</v>
      </c>
      <c r="AF109" s="183">
        <f>INDEX(LINEST(O49:O109,'AC2'!$F49:$J109,1,1),1,1)</f>
        <v>0.96661625783434424</v>
      </c>
      <c r="AG109" s="183">
        <f>INDEX(LINEST(P49:P109,'AC2'!$F49:$J109,1,1),1,1)</f>
        <v>0.20186849769460127</v>
      </c>
      <c r="AH109" s="183">
        <f>INDEX(LINEST(Q49:Q109,'AC2'!$F49:$J109,1,1),1,1)</f>
        <v>-1.3250020382789183</v>
      </c>
      <c r="AI109" s="183">
        <f>INDEX(LINEST(R49:R109,'AC2'!$F49:$J109,1,1),1,1)</f>
        <v>-0.96281055275183647</v>
      </c>
      <c r="AJ109" s="183">
        <f>INDEX(LINEST(S49:S109,'AC2'!$F49:$J109,1,1),1,1)</f>
        <v>0.40257662751563678</v>
      </c>
      <c r="AL109" s="343">
        <f>AL108*(1+O109+'Risk Factors'!$J109)</f>
        <v>0.10321995323628462</v>
      </c>
      <c r="AM109" s="343">
        <f>AM108*(1+P109+'Risk Factors'!$J109)</f>
        <v>7.8112139248907156E-2</v>
      </c>
      <c r="AN109" s="343">
        <f>AN108*(1+Q109+'Risk Factors'!$J109)</f>
        <v>0.39260796938470149</v>
      </c>
      <c r="AO109" s="343">
        <f>AO108*(1+R109+'Risk Factors'!$J109)</f>
        <v>0.52457169395387004</v>
      </c>
      <c r="AP109" s="343">
        <f>AP108*(1+S109+'Risk Factors'!$J109)</f>
        <v>0.22161607847753134</v>
      </c>
      <c r="AR109" s="92">
        <f t="shared" si="32"/>
        <v>7.8189362086222458E-2</v>
      </c>
      <c r="AS109" s="92">
        <f t="shared" si="33"/>
        <v>5.917013278509474E-2</v>
      </c>
      <c r="AT109" s="92">
        <f t="shared" si="34"/>
        <v>0.29740147823827795</v>
      </c>
      <c r="AU109" s="92">
        <f t="shared" si="35"/>
        <v>0.39736431603346245</v>
      </c>
      <c r="AV109" s="92">
        <f t="shared" si="36"/>
        <v>0.16787471085694233</v>
      </c>
      <c r="AW109" s="418">
        <f t="shared" si="37"/>
        <v>1.3201278343012948</v>
      </c>
      <c r="AX109" s="343">
        <f t="shared" si="30"/>
        <v>-2.6196583971462295E-2</v>
      </c>
      <c r="AZ109" s="421">
        <v>43465</v>
      </c>
      <c r="BA109" s="92">
        <f>HLOOKUP(BA$1,'AC4'!$F$1:$AC$109,ROW(),0)*'Management and Hedging'!$G$10</f>
        <v>8.4032399999999993E-3</v>
      </c>
      <c r="BB109" s="92">
        <f>HLOOKUP(BB$1,'AC4'!$F$1:$AC$109,ROW(),0)*'Management and Hedging'!$G$11</f>
        <v>6.4117917581708031E-3</v>
      </c>
      <c r="BC109" s="92">
        <f>IF('Management and Hedging'!$G$13="yes",BA109+BB109,CQ109)</f>
        <v>1.4815031758170803E-2</v>
      </c>
      <c r="BD109" s="138">
        <f>IF(IF('Management and Hedging'!$J$10="no",BL109,BO109)=0,NA(),IF('Management and Hedging'!$J$10="no",BL109,BO109))</f>
        <v>2.9075683202493625</v>
      </c>
      <c r="BE109" s="138">
        <f>IF(IF('Management and Hedging'!$J$10="no",BM109,BP109)=0,NA(),IF('Management and Hedging'!$J$10="no",BM109,BP109))</f>
        <v>-1.3250020382789183</v>
      </c>
      <c r="BF109" s="138">
        <f>IF(IF('Management and Hedging'!$J$10="no",BN109,BQ109)=0,NA(),IF('Management and Hedging'!$J$10="no",BN109,BQ109))</f>
        <v>-0.47848796657326115</v>
      </c>
      <c r="BG109" s="92">
        <f>IF('Management and Hedging'!$G$13="yes",BH109+BI109,CQ109)</f>
        <v>1.6715031758170802E-2</v>
      </c>
      <c r="BH109" s="92">
        <f>HLOOKUP(BH$1,'Asset Returns'!$F$1:$ZY$109,ROW(),0)*'Management and Hedging'!$G$10</f>
        <v>8.7832399999999995E-3</v>
      </c>
      <c r="BI109" s="92">
        <f>HLOOKUP(BI$1,'Asset Returns'!$F$1:$ZY$109,ROW(),0)*'Management and Hedging'!$G$11</f>
        <v>7.9317917581708027E-3</v>
      </c>
      <c r="BJ109" s="92">
        <f>HLOOKUP(BJ$1,'AC4'!$F$1:$AC$109,ROW(),0)</f>
        <v>4.2016199999999997E-2</v>
      </c>
      <c r="BK109" s="92">
        <f>HLOOKUP(BK$1,'AC4'!$F$1:$AC$109,ROW(),0)</f>
        <v>8.0147396977135032E-3</v>
      </c>
      <c r="BL109" s="138">
        <f ca="1">'Management and Hedging'!$R$34</f>
        <v>2.5919346055080732</v>
      </c>
      <c r="BM109" s="138">
        <f ca="1">'Management and Hedging'!$R$36</f>
        <v>-2.1312105104673718</v>
      </c>
      <c r="BN109" s="138">
        <f>'Management and Hedging'!$R$38</f>
        <v>-1.1865814872722835</v>
      </c>
      <c r="BO109" s="138">
        <f>INDEX(LINEST(BJ49:BJ109,'AC2'!$F49:$J109,1,1),1,1)</f>
        <v>2.9075683202493625</v>
      </c>
      <c r="BP109" s="138">
        <f>INDEX(LINEST(BK49:BK109,'AC2'!$F49:$J109,1,1),1,1)</f>
        <v>-1.3250020382789183</v>
      </c>
      <c r="BQ109" s="138">
        <f>INDEX(LINEST(BC49:BC109,'AC2'!$F49:$J109,1,1),1,1)</f>
        <v>-0.47848796657326115</v>
      </c>
      <c r="BR109" s="138"/>
      <c r="BS109" s="138"/>
      <c r="BT109" s="138"/>
      <c r="BU109" s="138"/>
      <c r="BV109" s="138"/>
      <c r="BW109" s="138"/>
      <c r="BX109" s="138"/>
      <c r="BY109" s="138"/>
      <c r="BZ109" s="138"/>
      <c r="CA109" s="138"/>
      <c r="CB109" s="138"/>
      <c r="CC109" s="138"/>
      <c r="CD109" s="138"/>
      <c r="CE109" s="138"/>
      <c r="CF109" s="138"/>
      <c r="CG109" s="138"/>
      <c r="CH109" s="138"/>
      <c r="CI109" s="138"/>
      <c r="CJ109" s="138"/>
      <c r="CK109" s="343">
        <f>CK108*(1+BA109+'Risk Factors'!$J109)</f>
        <v>0.17795916260185199</v>
      </c>
      <c r="CL109" s="343">
        <f>CL108*(1+BB109+'Risk Factors'!$J109)</f>
        <v>1.1789690602292284</v>
      </c>
      <c r="CN109" s="343">
        <f t="shared" si="27"/>
        <v>0.13114854537446344</v>
      </c>
      <c r="CO109" s="343">
        <f t="shared" si="28"/>
        <v>0.86885145462553659</v>
      </c>
      <c r="CP109" s="418">
        <f t="shared" si="29"/>
        <v>1.3569282228310804</v>
      </c>
      <c r="CQ109" s="343">
        <f t="shared" si="31"/>
        <v>8.5725198863075835E-3</v>
      </c>
      <c r="CS109" s="92"/>
      <c r="CT109" s="260"/>
      <c r="CU109" s="260"/>
      <c r="CV109" s="260"/>
      <c r="CW109" s="260"/>
      <c r="CX109" s="260"/>
      <c r="CY109" s="260"/>
      <c r="CZ109" s="260"/>
      <c r="DB109" s="325"/>
      <c r="DC109" s="92"/>
      <c r="DD109" s="92"/>
      <c r="DE109" s="260"/>
      <c r="DF109" s="260"/>
      <c r="DG109" s="260"/>
      <c r="DH109" s="260"/>
      <c r="DI109" s="260"/>
    </row>
    <row r="110" spans="6:113">
      <c r="AZ110" s="325"/>
    </row>
  </sheetData>
  <sortState ref="DB20:DF28">
    <sortCondition descending="1" ref="DB19"/>
  </sortState>
  <pageMargins left="0.7" right="0.7" top="0.78740157499999996" bottom="0.78740157499999996"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AC125"/>
  <sheetViews>
    <sheetView workbookViewId="0">
      <selection activeCell="CG31" sqref="CG31"/>
    </sheetView>
  </sheetViews>
  <sheetFormatPr baseColWidth="10" defaultRowHeight="15"/>
  <sheetData>
    <row r="1" spans="5:29">
      <c r="E1" s="24" t="str">
        <f>'Asset Returns'!E1</f>
        <v>Month</v>
      </c>
      <c r="F1" s="24" t="str">
        <f>'Asset Returns'!F1</f>
        <v>Gazprom</v>
      </c>
      <c r="G1" s="24" t="str">
        <f>'Asset Returns'!G1</f>
        <v>Vestas</v>
      </c>
      <c r="H1" s="24" t="str">
        <f>'Asset Returns'!H1</f>
        <v>BP</v>
      </c>
      <c r="I1" s="24" t="str">
        <f>'Asset Returns'!I1</f>
        <v>Tata Motors</v>
      </c>
      <c r="J1" s="24" t="str">
        <f>'Asset Returns'!J1</f>
        <v>Toyota</v>
      </c>
      <c r="K1" s="24" t="str">
        <f>'Asset Returns'!K1</f>
        <v>Philips</v>
      </c>
      <c r="L1" s="24" t="str">
        <f>'Asset Returns'!L1</f>
        <v>Adobe</v>
      </c>
      <c r="M1" s="24" t="str">
        <f>'Asset Returns'!M1</f>
        <v>IBM</v>
      </c>
      <c r="N1" s="24" t="str">
        <f>'Asset Returns'!N1</f>
        <v>Johnson &amp; Johnson</v>
      </c>
      <c r="O1" s="24"/>
      <c r="P1" s="24" t="str">
        <f>'Asset Returns'!P1</f>
        <v>Month</v>
      </c>
      <c r="Q1" s="24" t="str">
        <f>'Asset Returns'!Q1</f>
        <v>Philips Bond</v>
      </c>
      <c r="R1" s="24" t="str">
        <f>'Asset Returns'!R1</f>
        <v>IBM Bond</v>
      </c>
      <c r="S1" s="24"/>
      <c r="T1" s="24" t="str">
        <f>'Asset Returns'!T1</f>
        <v>Month</v>
      </c>
      <c r="U1" s="24" t="str">
        <f>'Asset Returns'!U1</f>
        <v>RobecoSAM Sustainable EE</v>
      </c>
      <c r="V1" s="24" t="str">
        <f>'Asset Returns'!V1</f>
        <v>iShares Global Clean Energy ETF USD Dist</v>
      </c>
      <c r="W1" s="24" t="str">
        <f>'Asset Returns'!W1</f>
        <v>LO Funds Generation</v>
      </c>
      <c r="X1" s="24" t="str">
        <f>'Asset Returns'!X1</f>
        <v>Triodos Sustainable Equity</v>
      </c>
      <c r="Y1" s="24" t="str">
        <f>'Asset Returns'!Y1</f>
        <v>ProShares UltraShort Oil &amp; Gas</v>
      </c>
      <c r="Z1" s="24" t="str">
        <f>'Asset Returns'!Z1</f>
        <v>US GI World Precious Minerals</v>
      </c>
      <c r="AA1" s="24" t="str">
        <f>'Asset Returns'!AA1</f>
        <v>iShares MSCI World ETF</v>
      </c>
      <c r="AB1" s="24" t="str">
        <f>'Asset Returns'!AB1</f>
        <v>UniNachhaltig Aktien G</v>
      </c>
      <c r="AC1" s="24" t="str">
        <f>'Asset Returns'!AC1</f>
        <v>Rydex  VaR Dow</v>
      </c>
    </row>
    <row r="2" spans="5:29">
      <c r="E2" s="421">
        <f>'Asset Returns'!E2</f>
        <v>40209</v>
      </c>
      <c r="F2" s="25">
        <f>'Asset Returns'!F2-'Risk Factors'!$J2</f>
        <v>1.7791025340557098E-2</v>
      </c>
      <c r="G2" s="25">
        <f>'Asset Returns'!G2-'Risk Factors'!$J2</f>
        <v>-0.12015439569950104</v>
      </c>
      <c r="H2" s="25">
        <f>'Asset Returns'!H2-'Risk Factors'!$J2</f>
        <v>-2.9372639954090118E-2</v>
      </c>
      <c r="I2" s="25">
        <f>'Asset Returns'!I2-'Risk Factors'!$J2</f>
        <v>-0.11586199700832367</v>
      </c>
      <c r="J2" s="25">
        <f>'Asset Returns'!J2-'Risk Factors'!$J2</f>
        <v>-7.6307445764541626E-2</v>
      </c>
      <c r="K2" s="25">
        <f>'Asset Returns'!K2-'Risk Factors'!$J2</f>
        <v>2.5934202596545219E-2</v>
      </c>
      <c r="L2" s="25">
        <f>'Asset Returns'!L2-'Risk Factors'!$J2</f>
        <v>-0.1218053326010704</v>
      </c>
      <c r="M2" s="25">
        <f>'Asset Returns'!M2-'Risk Factors'!$J2</f>
        <v>-6.5011471509933472E-2</v>
      </c>
      <c r="N2" s="25">
        <f>'Asset Returns'!N2-'Risk Factors'!$J2</f>
        <v>-2.4064585566520691E-2</v>
      </c>
      <c r="O2" s="25"/>
      <c r="P2" s="421">
        <f>'Asset Returns'!P2</f>
        <v>40209</v>
      </c>
      <c r="Q2" s="25">
        <f>'Asset Returns'!Q2-'Risk Factors'!$J2</f>
        <v>3.8100627151412159E-2</v>
      </c>
      <c r="R2" s="25">
        <f>'Asset Returns'!R2-'Risk Factors'!$J2</f>
        <v>-6.4581987875250713E-3</v>
      </c>
      <c r="S2" s="260"/>
      <c r="T2" s="421">
        <f>'Asset Returns'!T2</f>
        <v>40209</v>
      </c>
      <c r="U2" s="25">
        <f>'Asset Returns'!U2-'Risk Factors'!$J2</f>
        <v>-4.2012549999999996E-2</v>
      </c>
      <c r="V2" s="25">
        <f>'Asset Returns'!V2-'Risk Factors'!$J2</f>
        <v>-0.12007130000000001</v>
      </c>
      <c r="W2" s="25">
        <f>'Asset Returns'!W2-'Risk Factors'!$J2</f>
        <v>-2.9148489999999999E-2</v>
      </c>
      <c r="X2" s="25">
        <f>'Asset Returns'!X2-'Risk Factors'!$J2</f>
        <v>-5.2588721834653122E-2</v>
      </c>
      <c r="Y2" s="25">
        <f>'Asset Returns'!Y2-'Risk Factors'!$J2</f>
        <v>8.2352900000000007E-2</v>
      </c>
      <c r="Z2" s="25">
        <f>'Asset Returns'!Z2-'Risk Factors'!$J2</f>
        <v>-9.5866799999999988E-2</v>
      </c>
      <c r="AA2" s="25">
        <f>'Asset Returns'!AA2-'Risk Factors'!$J2</f>
        <v>-4.3945600000000001E-2</v>
      </c>
      <c r="AB2" s="25">
        <f>'Asset Returns'!AB2-'Risk Factors'!$J2</f>
        <v>-4.664343E-2</v>
      </c>
      <c r="AC2" s="25">
        <f>'Asset Returns'!AC2-'Risk Factors'!$J2</f>
        <v>-6.8594799999999997E-2</v>
      </c>
    </row>
    <row r="3" spans="5:29">
      <c r="E3" s="421">
        <f>'Asset Returns'!E3</f>
        <v>40237</v>
      </c>
      <c r="F3" s="25">
        <f>'Asset Returns'!F3-'Risk Factors'!$J3</f>
        <v>-9.3080893158912659E-2</v>
      </c>
      <c r="G3" s="25">
        <f>'Asset Returns'!G3-'Risk Factors'!$J3</f>
        <v>-8.2301206886768341E-2</v>
      </c>
      <c r="H3" s="25">
        <f>'Asset Returns'!H3-'Risk Factors'!$J3</f>
        <v>-4.9007833003997803E-2</v>
      </c>
      <c r="I3" s="25">
        <f>'Asset Returns'!I3-'Risk Factors'!$J3</f>
        <v>2.5710742920637131E-2</v>
      </c>
      <c r="J3" s="25">
        <f>'Asset Returns'!J3-'Risk Factors'!$J3</f>
        <v>-2.6624774560332298E-2</v>
      </c>
      <c r="K3" s="25">
        <f>'Asset Returns'!K3-'Risk Factors'!$J3</f>
        <v>-3.7442240864038467E-2</v>
      </c>
      <c r="L3" s="25">
        <f>'Asset Returns'!L3-'Risk Factors'!$J3</f>
        <v>7.2755418717861176E-2</v>
      </c>
      <c r="M3" s="25">
        <f>'Asset Returns'!M3-'Risk Factors'!$J3</f>
        <v>4.3662291020154953E-2</v>
      </c>
      <c r="N3" s="25">
        <f>'Asset Returns'!N3-'Risk Factors'!$J3</f>
        <v>9.9233193323016167E-3</v>
      </c>
      <c r="O3" s="25"/>
      <c r="P3" s="421">
        <f>'Asset Returns'!P3</f>
        <v>40237</v>
      </c>
      <c r="Q3" s="25">
        <f>'Asset Returns'!Q3-'Risk Factors'!$J3</f>
        <v>2.7355086178615373E-3</v>
      </c>
      <c r="R3" s="25">
        <f>'Asset Returns'!R3-'Risk Factors'!$J3</f>
        <v>-6.4931887917356601E-3</v>
      </c>
      <c r="S3" s="260"/>
      <c r="T3" s="421">
        <f>'Asset Returns'!T3</f>
        <v>40237</v>
      </c>
      <c r="U3" s="25">
        <f>'Asset Returns'!U3-'Risk Factors'!$J3</f>
        <v>-2.576999E-2</v>
      </c>
      <c r="V3" s="25">
        <f>'Asset Returns'!V3-'Risk Factors'!$J3</f>
        <v>-7.8323799999999999E-2</v>
      </c>
      <c r="W3" s="25">
        <f>'Asset Returns'!W3-'Risk Factors'!$J3</f>
        <v>1.3862399999999999E-2</v>
      </c>
      <c r="X3" s="25">
        <f>'Asset Returns'!X3-'Risk Factors'!$J3</f>
        <v>-9.7270963330988724E-3</v>
      </c>
      <c r="Y3" s="25">
        <f>'Asset Returns'!Y3-'Risk Factors'!$J3</f>
        <v>-5.4347800000000002E-2</v>
      </c>
      <c r="Z3" s="25">
        <f>'Asset Returns'!Z3-'Risk Factors'!$J3</f>
        <v>7.1111099999999997E-2</v>
      </c>
      <c r="AA3" s="25">
        <f>'Asset Returns'!AA3-'Risk Factors'!$J3</f>
        <v>1.3324800000000001E-2</v>
      </c>
      <c r="AB3" s="25">
        <f>'Asset Returns'!AB3-'Risk Factors'!$J3</f>
        <v>-1.0441869999999999E-2</v>
      </c>
      <c r="AC3" s="25">
        <f>'Asset Returns'!AC3-'Risk Factors'!$J3</f>
        <v>5.6738700000000003E-2</v>
      </c>
    </row>
    <row r="4" spans="5:29">
      <c r="E4" s="421">
        <f>'Asset Returns'!E4</f>
        <v>40268</v>
      </c>
      <c r="F4" s="25">
        <f>'Asset Returns'!F4-'Risk Factors'!$J4</f>
        <v>4.5415164732933042E-2</v>
      </c>
      <c r="G4" s="25">
        <f>'Asset Returns'!G4-'Risk Factors'!$J4</f>
        <v>9.9321888589859006E-2</v>
      </c>
      <c r="H4" s="25">
        <f>'Asset Returns'!H4-'Risk Factors'!$J4</f>
        <v>7.3153013193607327E-2</v>
      </c>
      <c r="I4" s="25">
        <f>'Asset Returns'!I4-'Risk Factors'!$J4</f>
        <v>9.3896740877628324E-2</v>
      </c>
      <c r="J4" s="25">
        <f>'Asset Returns'!J4-'Risk Factors'!$J4</f>
        <v>7.6509976589679715E-2</v>
      </c>
      <c r="K4" s="25">
        <f>'Asset Returns'!K4-'Risk Factors'!$J4</f>
        <v>0.12812268903255464</v>
      </c>
      <c r="L4" s="25">
        <f>'Asset Returns'!L4-'Risk Factors'!$J4</f>
        <v>2.057922055721283E-2</v>
      </c>
      <c r="M4" s="25">
        <f>'Asset Returns'!M4-'Risk Factors'!$J4</f>
        <v>8.3718689322471625E-3</v>
      </c>
      <c r="N4" s="25">
        <f>'Asset Returns'!N4-'Risk Factors'!$J4</f>
        <v>3.4720634871721265E-2</v>
      </c>
      <c r="O4" s="25"/>
      <c r="P4" s="421">
        <f>'Asset Returns'!P4</f>
        <v>40268</v>
      </c>
      <c r="Q4" s="25">
        <f>'Asset Returns'!Q4-'Risk Factors'!$J4</f>
        <v>-4.025970293491399E-3</v>
      </c>
      <c r="R4" s="25">
        <f>'Asset Returns'!R4-'Risk Factors'!$J4</f>
        <v>2.5852555155335456E-2</v>
      </c>
      <c r="S4" s="260"/>
      <c r="T4" s="421">
        <f>'Asset Returns'!T4</f>
        <v>40268</v>
      </c>
      <c r="U4" s="25">
        <f>'Asset Returns'!U4-'Risk Factors'!$J4</f>
        <v>7.0567920000000006E-2</v>
      </c>
      <c r="V4" s="25">
        <f>'Asset Returns'!V4-'Risk Factors'!$J4</f>
        <v>5.4342899999999993E-2</v>
      </c>
      <c r="W4" s="25">
        <f>'Asset Returns'!W4-'Risk Factors'!$J4</f>
        <v>5.8341999999999998E-2</v>
      </c>
      <c r="X4" s="25">
        <f>'Asset Returns'!X4-'Risk Factors'!$J4</f>
        <v>6.6900165326205338E-2</v>
      </c>
      <c r="Y4" s="25">
        <f>'Asset Returns'!Y4-'Risk Factors'!$J4</f>
        <v>-6.2169000000000002E-2</v>
      </c>
      <c r="Z4" s="25">
        <f>'Asset Returns'!Z4-'Risk Factors'!$J4</f>
        <v>4.9099799999999992E-2</v>
      </c>
      <c r="AA4" s="25">
        <f>'Asset Returns'!AA4-'Risk Factors'!$J4</f>
        <v>6.0912299999999996E-2</v>
      </c>
      <c r="AB4" s="25">
        <f>'Asset Returns'!AB4-'Risk Factors'!$J4</f>
        <v>6.5019069999999998E-2</v>
      </c>
      <c r="AC4" s="25">
        <f>'Asset Returns'!AC4-'Risk Factors'!$J4</f>
        <v>0.10666920000000001</v>
      </c>
    </row>
    <row r="5" spans="5:29">
      <c r="E5" s="421">
        <f>'Asset Returns'!E5</f>
        <v>40298</v>
      </c>
      <c r="F5" s="25">
        <f>'Asset Returns'!F5-'Risk Factors'!$J5</f>
        <v>-2.1968858152627943E-3</v>
      </c>
      <c r="G5" s="25">
        <f>'Asset Returns'!G5-'Risk Factors'!$J5</f>
        <v>0.12286680361032486</v>
      </c>
      <c r="H5" s="25">
        <f>'Asset Returns'!H5-'Risk Factors'!$J5</f>
        <v>-6.8671537733078006E-2</v>
      </c>
      <c r="I5" s="25">
        <f>'Asset Returns'!I5-'Risk Factors'!$J5</f>
        <v>0.16533342173099519</v>
      </c>
      <c r="J5" s="25">
        <f>'Asset Returns'!J5-'Risk Factors'!$J5</f>
        <v>-2.7497241443395614E-2</v>
      </c>
      <c r="K5" s="25">
        <f>'Asset Returns'!K5-'Risk Factors'!$J5</f>
        <v>5.2414992654323575E-2</v>
      </c>
      <c r="L5" s="25">
        <f>'Asset Returns'!L5-'Risk Factors'!$J5</f>
        <v>-5.0242411142587665E-2</v>
      </c>
      <c r="M5" s="25">
        <f>'Asset Returns'!M5-'Risk Factors'!$J5</f>
        <v>5.6479594834148881E-3</v>
      </c>
      <c r="N5" s="25">
        <f>'Asset Returns'!N5-'Risk Factors'!$J5</f>
        <v>-1.4003680257499217E-2</v>
      </c>
      <c r="O5" s="25"/>
      <c r="P5" s="421">
        <f>'Asset Returns'!P5</f>
        <v>40298</v>
      </c>
      <c r="Q5" s="25">
        <f>'Asset Returns'!Q5-'Risk Factors'!$J5</f>
        <v>2.3366752906815103E-2</v>
      </c>
      <c r="R5" s="25">
        <f>'Asset Returns'!R5-'Risk Factors'!$J5</f>
        <v>3.4000649372913014E-2</v>
      </c>
      <c r="S5" s="260"/>
      <c r="T5" s="421">
        <f>'Asset Returns'!T5</f>
        <v>40298</v>
      </c>
      <c r="U5" s="25">
        <f>'Asset Returns'!U5-'Risk Factors'!$J5</f>
        <v>-2.7772150000000002E-2</v>
      </c>
      <c r="V5" s="25">
        <f>'Asset Returns'!V5-'Risk Factors'!$J5</f>
        <v>-1.5836699999999999E-2</v>
      </c>
      <c r="W5" s="25">
        <f>'Asset Returns'!W5-'Risk Factors'!$J5</f>
        <v>-1.7593299999999999E-3</v>
      </c>
      <c r="X5" s="25">
        <f>'Asset Returns'!X5-'Risk Factors'!$J5</f>
        <v>-4.002917562910613E-3</v>
      </c>
      <c r="Y5" s="25">
        <f>'Asset Returns'!Y5-'Risk Factors'!$J5</f>
        <v>-9.389080000000001E-2</v>
      </c>
      <c r="Z5" s="25">
        <f>'Asset Returns'!Z5-'Risk Factors'!$J5</f>
        <v>9.8205100000000004E-2</v>
      </c>
      <c r="AA5" s="25">
        <f>'Asset Returns'!AA5-'Risk Factors'!$J5</f>
        <v>-6.9099999999999999E-4</v>
      </c>
      <c r="AB5" s="25">
        <f>'Asset Returns'!AB5-'Risk Factors'!$J5</f>
        <v>-5.1017E-4</v>
      </c>
      <c r="AC5" s="25">
        <f>'Asset Returns'!AC5-'Risk Factors'!$J5</f>
        <v>2.74229E-2</v>
      </c>
    </row>
    <row r="6" spans="5:29">
      <c r="E6" s="421">
        <f>'Asset Returns'!E6</f>
        <v>40329</v>
      </c>
      <c r="F6" s="25">
        <f>'Asset Returns'!F6-'Risk Factors'!$J6</f>
        <v>-9.8245291209220889E-2</v>
      </c>
      <c r="G6" s="25">
        <f>'Asset Returns'!G6-'Risk Factors'!$J6</f>
        <v>-0.21885545382499694</v>
      </c>
      <c r="H6" s="25">
        <f>'Asset Returns'!H6-'Risk Factors'!$J6</f>
        <v>-0.18406106362342833</v>
      </c>
      <c r="I6" s="25">
        <f>'Asset Returns'!I6-'Risk Factors'!$J6</f>
        <v>-0.17238613793849944</v>
      </c>
      <c r="J6" s="25">
        <f>'Asset Returns'!J6-'Risk Factors'!$J6</f>
        <v>-7.6001865959167483E-2</v>
      </c>
      <c r="K6" s="25">
        <f>'Asset Returns'!K6-'Risk Factors'!$J6</f>
        <v>-0.11509827355146408</v>
      </c>
      <c r="L6" s="25">
        <f>'Asset Returns'!L6-'Risk Factors'!$J6</f>
        <v>-4.5438097959756854E-2</v>
      </c>
      <c r="M6" s="25">
        <f>'Asset Returns'!M6-'Risk Factors'!$J6</f>
        <v>-2.4098999968171119E-2</v>
      </c>
      <c r="N6" s="25">
        <f>'Asset Returns'!N6-'Risk Factors'!$J6</f>
        <v>-8.5218323564529422E-2</v>
      </c>
      <c r="O6" s="25"/>
      <c r="P6" s="421">
        <f>'Asset Returns'!P6</f>
        <v>40329</v>
      </c>
      <c r="Q6" s="25">
        <f>'Asset Returns'!Q6-'Risk Factors'!$J6</f>
        <v>1.4543948632622639E-2</v>
      </c>
      <c r="R6" s="25">
        <f>'Asset Returns'!R6-'Risk Factors'!$J6</f>
        <v>1.6994810551304241E-2</v>
      </c>
      <c r="S6" s="260"/>
      <c r="T6" s="421">
        <f>'Asset Returns'!T6</f>
        <v>40329</v>
      </c>
      <c r="U6" s="25">
        <f>'Asset Returns'!U6-'Risk Factors'!$J6</f>
        <v>-0.13211897</v>
      </c>
      <c r="V6" s="25">
        <f>'Asset Returns'!V6-'Risk Factors'!$J6</f>
        <v>-0.18329479999999998</v>
      </c>
      <c r="W6" s="25">
        <f>'Asset Returns'!W6-'Risk Factors'!$J6</f>
        <v>-8.5689730000000006E-2</v>
      </c>
      <c r="X6" s="25">
        <f>'Asset Returns'!X6-'Risk Factors'!$J6</f>
        <v>-0.1045468810057374</v>
      </c>
      <c r="Y6" s="25">
        <f>'Asset Returns'!Y6-'Risk Factors'!$J6</f>
        <v>0.24458090000000002</v>
      </c>
      <c r="Z6" s="25">
        <f>'Asset Returns'!Z6-'Risk Factors'!$J6</f>
        <v>-7.8803700000000004E-2</v>
      </c>
      <c r="AA6" s="25">
        <f>'Asset Returns'!AA6-'Risk Factors'!$J6</f>
        <v>-9.5516400000000001E-2</v>
      </c>
      <c r="AB6" s="25">
        <f>'Asset Returns'!AB6-'Risk Factors'!$J6</f>
        <v>-8.7048620000000007E-2</v>
      </c>
      <c r="AC6" s="25">
        <f>'Asset Returns'!AC6-'Risk Factors'!$J6</f>
        <v>-0.1489095</v>
      </c>
    </row>
    <row r="7" spans="5:29">
      <c r="E7" s="421">
        <f>'Asset Returns'!E7</f>
        <v>40359</v>
      </c>
      <c r="F7" s="25">
        <f>'Asset Returns'!F7-'Risk Factors'!$J7</f>
        <v>-7.6821124351024631E-2</v>
      </c>
      <c r="G7" s="25">
        <f>'Asset Returns'!G7-'Risk Factors'!$J7</f>
        <v>-0.12134244868755341</v>
      </c>
      <c r="H7" s="25">
        <f>'Asset Returns'!H7-'Risk Factors'!$J7</f>
        <v>-0.33655686507225036</v>
      </c>
      <c r="I7" s="25">
        <f>'Asset Returns'!I7-'Risk Factors'!$J7</f>
        <v>2.9149850660562516E-2</v>
      </c>
      <c r="J7" s="25">
        <f>'Asset Returns'!J7-'Risk Factors'!$J7</f>
        <v>-3.4166189080476764E-2</v>
      </c>
      <c r="K7" s="25">
        <f>'Asset Returns'!K7-'Risk Factors'!$J7</f>
        <v>1.155479887276888E-2</v>
      </c>
      <c r="L7" s="25">
        <f>'Asset Returns'!L7-'Risk Factors'!$J7</f>
        <v>-0.17632219026088713</v>
      </c>
      <c r="M7" s="25">
        <f>'Asset Returns'!M7-'Risk Factors'!$J7</f>
        <v>-1.4410446567833423E-2</v>
      </c>
      <c r="N7" s="25">
        <f>'Asset Returns'!N7-'Risk Factors'!$J7</f>
        <v>1.2836021201312543E-2</v>
      </c>
      <c r="O7" s="25"/>
      <c r="P7" s="421">
        <f>'Asset Returns'!P7</f>
        <v>40359</v>
      </c>
      <c r="Q7" s="25">
        <f>'Asset Returns'!Q7-'Risk Factors'!$J7</f>
        <v>3.585497963573013E-2</v>
      </c>
      <c r="R7" s="25">
        <f>'Asset Returns'!R7-'Risk Factors'!$J7</f>
        <v>3.2810864236165513E-2</v>
      </c>
      <c r="S7" s="260"/>
      <c r="T7" s="421">
        <f>'Asset Returns'!T7</f>
        <v>40359</v>
      </c>
      <c r="U7" s="25">
        <f>'Asset Returns'!U7-'Risk Factors'!$J7</f>
        <v>8.7230299999999997E-3</v>
      </c>
      <c r="V7" s="25">
        <f>'Asset Returns'!V7-'Risk Factors'!$J7</f>
        <v>-2.6763800000000001E-2</v>
      </c>
      <c r="W7" s="25">
        <f>'Asset Returns'!W7-'Risk Factors'!$J7</f>
        <v>-2.1797419999999998E-2</v>
      </c>
      <c r="X7" s="25">
        <f>'Asset Returns'!X7-'Risk Factors'!$J7</f>
        <v>-2.89465410407409E-3</v>
      </c>
      <c r="Y7" s="25">
        <f>'Asset Returns'!Y7-'Risk Factors'!$J7</f>
        <v>8.8412199999999996E-2</v>
      </c>
      <c r="Z7" s="25">
        <f>'Asset Returns'!Z7-'Risk Factors'!$J7</f>
        <v>4.5829999999999997E-4</v>
      </c>
      <c r="AA7" s="25">
        <f>'Asset Returns'!AA7-'Risk Factors'!$J7</f>
        <v>-3.6656600000000004E-2</v>
      </c>
      <c r="AB7" s="25">
        <f>'Asset Returns'!AB7-'Risk Factors'!$J7</f>
        <v>-1.2968409999999998E-2</v>
      </c>
      <c r="AC7" s="25">
        <f>'Asset Returns'!AC7-'Risk Factors'!$J7</f>
        <v>-7.41623E-2</v>
      </c>
    </row>
    <row r="8" spans="5:29">
      <c r="E8" s="421">
        <f>'Asset Returns'!E8</f>
        <v>40390</v>
      </c>
      <c r="F8" s="25">
        <f>'Asset Returns'!F8-'Risk Factors'!$J8</f>
        <v>0.12546990981101991</v>
      </c>
      <c r="G8" s="25">
        <f>'Asset Returns'!G8-'Risk Factors'!$J8</f>
        <v>0.15759569575786592</v>
      </c>
      <c r="H8" s="25">
        <f>'Asset Returns'!H8-'Risk Factors'!$J8</f>
        <v>0.33231823315620423</v>
      </c>
      <c r="I8" s="25">
        <f>'Asset Returns'!I8-'Risk Factors'!$J8</f>
        <v>8.7892705404758451E-2</v>
      </c>
      <c r="J8" s="25">
        <f>'Asset Returns'!J8-'Risk Factors'!$J8</f>
        <v>1.0965579950809479E-2</v>
      </c>
      <c r="K8" s="25">
        <f>'Asset Returns'!K8-'Risk Factors'!$J8</f>
        <v>2.8538837859034539E-2</v>
      </c>
      <c r="L8" s="25">
        <f>'Asset Returns'!L8-'Risk Factors'!$J8</f>
        <v>8.6443962359428403E-2</v>
      </c>
      <c r="M8" s="25">
        <f>'Asset Returns'!M8-'Risk Factors'!$J8</f>
        <v>3.9644507521390912E-2</v>
      </c>
      <c r="N8" s="25">
        <f>'Asset Returns'!N8-'Risk Factors'!$J8</f>
        <v>-1.6623974016308784E-2</v>
      </c>
      <c r="O8" s="25"/>
      <c r="P8" s="421">
        <f>'Asset Returns'!P8</f>
        <v>40390</v>
      </c>
      <c r="Q8" s="25">
        <f>'Asset Returns'!Q8-'Risk Factors'!$J8</f>
        <v>-2.0680970990529898E-3</v>
      </c>
      <c r="R8" s="25">
        <f>'Asset Returns'!R8-'Risk Factors'!$J8</f>
        <v>-1.1038446778428478E-2</v>
      </c>
      <c r="S8" s="260"/>
      <c r="T8" s="421">
        <f>'Asset Returns'!T8</f>
        <v>40390</v>
      </c>
      <c r="U8" s="25">
        <f>'Asset Returns'!U8-'Risk Factors'!$J8</f>
        <v>0.11254391</v>
      </c>
      <c r="V8" s="25">
        <f>'Asset Returns'!V8-'Risk Factors'!$J8</f>
        <v>0.10553319999999999</v>
      </c>
      <c r="W8" s="25">
        <f>'Asset Returns'!W8-'Risk Factors'!$J8</f>
        <v>6.2342700000000001E-2</v>
      </c>
      <c r="X8" s="25">
        <f>'Asset Returns'!X8-'Risk Factors'!$J8</f>
        <v>7.7952551457655325E-2</v>
      </c>
      <c r="Y8" s="25">
        <f>'Asset Returns'!Y8-'Risk Factors'!$J8</f>
        <v>-0.1507521</v>
      </c>
      <c r="Z8" s="25">
        <f>'Asset Returns'!Z8-'Risk Factors'!$J8</f>
        <v>-2.4095499999999999E-2</v>
      </c>
      <c r="AA8" s="25">
        <f>'Asset Returns'!AA8-'Risk Factors'!$J8</f>
        <v>7.99261E-2</v>
      </c>
      <c r="AB8" s="25">
        <f>'Asset Returns'!AB8-'Risk Factors'!$J8</f>
        <v>7.3914659999999993E-2</v>
      </c>
      <c r="AC8" s="25">
        <f>'Asset Returns'!AC8-'Risk Factors'!$J8</f>
        <v>0.1449395</v>
      </c>
    </row>
    <row r="9" spans="5:29">
      <c r="E9" s="421">
        <f>'Asset Returns'!E9</f>
        <v>40421</v>
      </c>
      <c r="F9" s="25">
        <f>'Asset Returns'!F9-'Risk Factors'!$J9</f>
        <v>-3.8124831563234332E-2</v>
      </c>
      <c r="G9" s="25">
        <f>'Asset Returns'!G9-'Risk Factors'!$J9</f>
        <v>-0.23022767732143401</v>
      </c>
      <c r="H9" s="25">
        <f>'Asset Returns'!H9-'Risk Factors'!$J9</f>
        <v>-8.0124555325508121E-2</v>
      </c>
      <c r="I9" s="25">
        <f>'Asset Returns'!I9-'Risk Factors'!$J9</f>
        <v>0.19590969552993776</v>
      </c>
      <c r="J9" s="25">
        <f>'Asset Returns'!J9-'Risk Factors'!$J9</f>
        <v>-3.2455796545743945E-2</v>
      </c>
      <c r="K9" s="25">
        <f>'Asset Returns'!K9-'Risk Factors'!$J9</f>
        <v>-9.8082831299304965E-2</v>
      </c>
      <c r="L9" s="25">
        <f>'Asset Returns'!L9-'Risk Factors'!$J9</f>
        <v>-3.5715321248769763E-2</v>
      </c>
      <c r="M9" s="25">
        <f>'Asset Returns'!M9-'Risk Factors'!$J9</f>
        <v>-3.6453982985019687E-2</v>
      </c>
      <c r="N9" s="25">
        <f>'Asset Returns'!N9-'Risk Factors'!$J9</f>
        <v>-9.4173794448375696E-3</v>
      </c>
      <c r="O9" s="25"/>
      <c r="P9" s="421">
        <f>'Asset Returns'!P9</f>
        <v>40421</v>
      </c>
      <c r="Q9" s="25">
        <f>'Asset Returns'!Q9-'Risk Factors'!$J9</f>
        <v>4.9392415649693863E-2</v>
      </c>
      <c r="R9" s="25">
        <f>'Asset Returns'!R9-'Risk Factors'!$J9</f>
        <v>9.5816374705645954E-2</v>
      </c>
      <c r="S9" s="260"/>
      <c r="T9" s="421">
        <f>'Asset Returns'!T9</f>
        <v>40421</v>
      </c>
      <c r="U9" s="25">
        <f>'Asset Returns'!U9-'Risk Factors'!$J9</f>
        <v>-3.2360550000000002E-2</v>
      </c>
      <c r="V9" s="25">
        <f>'Asset Returns'!V9-'Risk Factors'!$J9</f>
        <v>-3.9749400000000004E-2</v>
      </c>
      <c r="W9" s="25">
        <f>'Asset Returns'!W9-'Risk Factors'!$J9</f>
        <v>-2.846533E-2</v>
      </c>
      <c r="X9" s="25">
        <f>'Asset Returns'!X9-'Risk Factors'!$J9</f>
        <v>-2.5044041810794459E-2</v>
      </c>
      <c r="Y9" s="25">
        <f>'Asset Returns'!Y9-'Risk Factors'!$J9</f>
        <v>7.4798199999999995E-2</v>
      </c>
      <c r="Z9" s="25">
        <f>'Asset Returns'!Z9-'Risk Factors'!$J9</f>
        <v>8.5663299999999998E-2</v>
      </c>
      <c r="AA9" s="25">
        <f>'Asset Returns'!AA9-'Risk Factors'!$J9</f>
        <v>-4.0245700000000002E-2</v>
      </c>
      <c r="AB9" s="25">
        <f>'Asset Returns'!AB9-'Risk Factors'!$J9</f>
        <v>-3.380847E-2</v>
      </c>
      <c r="AC9" s="25">
        <f>'Asset Returns'!AC9-'Risk Factors'!$J9</f>
        <v>-8.04478E-2</v>
      </c>
    </row>
    <row r="10" spans="5:29">
      <c r="E10" s="421">
        <f>'Asset Returns'!E10</f>
        <v>40451</v>
      </c>
      <c r="F10" s="25">
        <f>'Asset Returns'!F10-'Risk Factors'!$J10</f>
        <v>1.2086710722744465E-2</v>
      </c>
      <c r="G10" s="25">
        <f>'Asset Returns'!G10-'Risk Factors'!$J10</f>
        <v>8.1701724022626883E-3</v>
      </c>
      <c r="H10" s="25">
        <f>'Asset Returns'!H10-'Risk Factors'!$J10</f>
        <v>0.15226045420169831</v>
      </c>
      <c r="I10" s="25">
        <f>'Asset Returns'!I10-'Risk Factors'!$J10</f>
        <v>0.13756619563102723</v>
      </c>
      <c r="J10" s="25">
        <f>'Asset Returns'!J10-'Risk Factors'!$J10</f>
        <v>6.0306599193811414E-2</v>
      </c>
      <c r="K10" s="25">
        <f>'Asset Returns'!K10-'Risk Factors'!$J10</f>
        <v>0.11986840685606003</v>
      </c>
      <c r="L10" s="25">
        <f>'Asset Returns'!L10-'Risk Factors'!$J10</f>
        <v>-5.6156682020425799E-2</v>
      </c>
      <c r="M10" s="25">
        <f>'Asset Returns'!M10-'Risk Factors'!$J10</f>
        <v>8.9217671954631803E-2</v>
      </c>
      <c r="N10" s="25">
        <f>'Asset Returns'!N10-'Risk Factors'!$J10</f>
        <v>8.6436265909671781E-2</v>
      </c>
      <c r="O10" s="25"/>
      <c r="P10" s="421">
        <f>'Asset Returns'!P10</f>
        <v>40451</v>
      </c>
      <c r="Q10" s="25">
        <f>'Asset Returns'!Q10-'Risk Factors'!$J10</f>
        <v>-1.1302145358822912E-2</v>
      </c>
      <c r="R10" s="25">
        <f>'Asset Returns'!R10-'Risk Factors'!$J10</f>
        <v>-1.7353929155821245E-2</v>
      </c>
      <c r="S10" s="260"/>
      <c r="T10" s="421">
        <f>'Asset Returns'!T10</f>
        <v>40451</v>
      </c>
      <c r="U10" s="25">
        <f>'Asset Returns'!U10-'Risk Factors'!$J10</f>
        <v>0.11528828000000001</v>
      </c>
      <c r="V10" s="25">
        <f>'Asset Returns'!V10-'Risk Factors'!$J10</f>
        <v>0.1082669</v>
      </c>
      <c r="W10" s="25">
        <f>'Asset Returns'!W10-'Risk Factors'!$J10</f>
        <v>8.1889269999999986E-2</v>
      </c>
      <c r="X10" s="25">
        <f>'Asset Returns'!X10-'Risk Factors'!$J10</f>
        <v>0.10178547773563015</v>
      </c>
      <c r="Y10" s="25">
        <f>'Asset Returns'!Y10-'Risk Factors'!$J10</f>
        <v>-0.1775052</v>
      </c>
      <c r="Z10" s="25">
        <f>'Asset Returns'!Z10-'Risk Factors'!$J10</f>
        <v>0.13944710000000002</v>
      </c>
      <c r="AA10" s="25">
        <f>'Asset Returns'!AA10-'Risk Factors'!$J10</f>
        <v>9.3249600000000002E-2</v>
      </c>
      <c r="AB10" s="25">
        <f>'Asset Returns'!AB10-'Risk Factors'!$J10</f>
        <v>7.8089430000000001E-2</v>
      </c>
      <c r="AC10" s="25">
        <f>'Asset Returns'!AC10-'Risk Factors'!$J10</f>
        <v>0.15980220000000001</v>
      </c>
    </row>
    <row r="11" spans="5:29">
      <c r="E11" s="421">
        <f>'Asset Returns'!E11</f>
        <v>40482</v>
      </c>
      <c r="F11" s="25">
        <f>'Asset Returns'!F11-'Risk Factors'!$J11</f>
        <v>4.5653020793199536E-2</v>
      </c>
      <c r="G11" s="25">
        <f>'Asset Returns'!G11-'Risk Factors'!$J11</f>
        <v>-0.15556593070030211</v>
      </c>
      <c r="H11" s="25">
        <f>'Asset Returns'!H11-'Risk Factors'!$J11</f>
        <v>9.6537012770771986E-3</v>
      </c>
      <c r="I11" s="25">
        <f>'Asset Returns'!I11-'Risk Factors'!$J11</f>
        <v>6.7376235330104825E-2</v>
      </c>
      <c r="J11" s="25">
        <f>'Asset Returns'!J11-'Risk Factors'!$J11</f>
        <v>-1.1165081693232059E-2</v>
      </c>
      <c r="K11" s="25">
        <f>'Asset Returns'!K11-'Risk Factors'!$J11</f>
        <v>-4.0627991950511935E-2</v>
      </c>
      <c r="L11" s="25">
        <f>'Asset Returns'!L11-'Risk Factors'!$J11</f>
        <v>7.6281832361221311E-2</v>
      </c>
      <c r="M11" s="25">
        <f>'Asset Returns'!M11-'Risk Factors'!$J11</f>
        <v>7.0323334836959836E-2</v>
      </c>
      <c r="N11" s="25">
        <f>'Asset Returns'!N11-'Risk Factors'!$J11</f>
        <v>2.8528211468458176E-2</v>
      </c>
      <c r="O11" s="25"/>
      <c r="P11" s="421">
        <f>'Asset Returns'!P11</f>
        <v>40482</v>
      </c>
      <c r="Q11" s="25">
        <f>'Asset Returns'!Q11-'Risk Factors'!$J11</f>
        <v>2.9885054082858689E-3</v>
      </c>
      <c r="R11" s="25">
        <f>'Asset Returns'!R11-'Risk Factors'!$J11</f>
        <v>-3.7595704111017661E-2</v>
      </c>
      <c r="S11" s="260"/>
      <c r="T11" s="421">
        <f>'Asset Returns'!T11</f>
        <v>40482</v>
      </c>
      <c r="U11" s="25">
        <f>'Asset Returns'!U11-'Risk Factors'!$J11</f>
        <v>4.3731639999999995E-2</v>
      </c>
      <c r="V11" s="25">
        <f>'Asset Returns'!V11-'Risk Factors'!$J11</f>
        <v>-1.6786700000000002E-2</v>
      </c>
      <c r="W11" s="25">
        <f>'Asset Returns'!W11-'Risk Factors'!$J11</f>
        <v>2.734286E-2</v>
      </c>
      <c r="X11" s="25">
        <f>'Asset Returns'!X11-'Risk Factors'!$J11</f>
        <v>3.130418091802277E-2</v>
      </c>
      <c r="Y11" s="25">
        <f>'Asset Returns'!Y11-'Risk Factors'!$J11</f>
        <v>-0.10394550000000001</v>
      </c>
      <c r="Z11" s="25">
        <f>'Asset Returns'!Z11-'Risk Factors'!$J11</f>
        <v>4.7959099999999998E-2</v>
      </c>
      <c r="AA11" s="25">
        <f>'Asset Returns'!AA11-'Risk Factors'!$J11</f>
        <v>3.73046E-2</v>
      </c>
      <c r="AB11" s="25">
        <f>'Asset Returns'!AB11-'Risk Factors'!$J11</f>
        <v>4.9493579999999995E-2</v>
      </c>
      <c r="AC11" s="25">
        <f>'Asset Returns'!AC11-'Risk Factors'!$J11</f>
        <v>6.1591999999999994E-2</v>
      </c>
    </row>
    <row r="12" spans="5:29">
      <c r="E12" s="421">
        <f>'Asset Returns'!E12</f>
        <v>40512</v>
      </c>
      <c r="F12" s="25">
        <f>'Asset Returns'!F12-'Risk Factors'!$J12</f>
        <v>1.0115915739536286E-2</v>
      </c>
      <c r="G12" s="25">
        <f>'Asset Returns'!G12-'Risk Factors'!$J12</f>
        <v>-0.10484412143230439</v>
      </c>
      <c r="H12" s="25">
        <f>'Asset Returns'!H12-'Risk Factors'!$J12</f>
        <v>-2.5786582550406455E-2</v>
      </c>
      <c r="I12" s="25">
        <f>'Asset Returns'!I12-'Risk Factors'!$J12</f>
        <v>3.1426386737823483E-2</v>
      </c>
      <c r="J12" s="25">
        <f>'Asset Returns'!J12-'Risk Factors'!$J12</f>
        <v>8.2772152328491208E-2</v>
      </c>
      <c r="K12" s="25">
        <f>'Asset Returns'!K12-'Risk Factors'!$J12</f>
        <v>-0.1041356531739235</v>
      </c>
      <c r="L12" s="25">
        <f>'Asset Returns'!L12-'Risk Factors'!$J12</f>
        <v>-1.2633392757177352E-2</v>
      </c>
      <c r="M12" s="25">
        <f>'Asset Returns'!M12-'Risk Factors'!$J12</f>
        <v>-1.0730568489432334E-2</v>
      </c>
      <c r="N12" s="25">
        <f>'Asset Returns'!N12-'Risk Factors'!$J12</f>
        <v>-2.6188403537869453E-2</v>
      </c>
      <c r="O12" s="25"/>
      <c r="P12" s="421">
        <f>'Asset Returns'!P12</f>
        <v>40512</v>
      </c>
      <c r="Q12" s="25">
        <f>'Asset Returns'!Q12-'Risk Factors'!$J12</f>
        <v>-3.3507783846348574E-2</v>
      </c>
      <c r="R12" s="25">
        <f>'Asset Returns'!R12-'Risk Factors'!$J12</f>
        <v>1.8380897326980106E-2</v>
      </c>
      <c r="S12" s="260"/>
      <c r="T12" s="421">
        <f>'Asset Returns'!T12</f>
        <v>40512</v>
      </c>
      <c r="U12" s="25">
        <f>'Asset Returns'!U12-'Risk Factors'!$J12</f>
        <v>-7.3887880000000003E-2</v>
      </c>
      <c r="V12" s="25">
        <f>'Asset Returns'!V12-'Risk Factors'!$J12</f>
        <v>-0.1263975</v>
      </c>
      <c r="W12" s="25">
        <f>'Asset Returns'!W12-'Risk Factors'!$J12</f>
        <v>-2.3354670000000001E-2</v>
      </c>
      <c r="X12" s="25">
        <f>'Asset Returns'!X12-'Risk Factors'!$J12</f>
        <v>-5.8403206784175779E-2</v>
      </c>
      <c r="Y12" s="25">
        <f>'Asset Returns'!Y12-'Risk Factors'!$J12</f>
        <v>-0.11657220000000001</v>
      </c>
      <c r="Z12" s="25">
        <f>'Asset Returns'!Z12-'Risk Factors'!$J12</f>
        <v>7.2651300000000002E-2</v>
      </c>
      <c r="AA12" s="25">
        <f>'Asset Returns'!AA12-'Risk Factors'!$J12</f>
        <v>-2.3087899999999998E-2</v>
      </c>
      <c r="AB12" s="25">
        <f>'Asset Returns'!AB12-'Risk Factors'!$J12</f>
        <v>-3.103359E-2</v>
      </c>
      <c r="AC12" s="25">
        <f>'Asset Returns'!AC12-'Risk Factors'!$J12</f>
        <v>-1.67215E-2</v>
      </c>
    </row>
    <row r="13" spans="5:29">
      <c r="E13" s="421">
        <f>'Asset Returns'!E13</f>
        <v>40543</v>
      </c>
      <c r="F13" s="25">
        <f>'Asset Returns'!F13-'Risk Factors'!$J13</f>
        <v>0.14593905379772187</v>
      </c>
      <c r="G13" s="25">
        <f>'Asset Returns'!G13-'Risk Factors'!$J13</f>
        <v>0.11062242259979248</v>
      </c>
      <c r="H13" s="25">
        <f>'Asset Returns'!H13-'Risk Factors'!$J13</f>
        <v>9.860389103889465E-2</v>
      </c>
      <c r="I13" s="25">
        <f>'Asset Returns'!I13-'Risk Factors'!$J13</f>
        <v>8.695610781908035E-2</v>
      </c>
      <c r="J13" s="25">
        <f>'Asset Returns'!J13-'Risk Factors'!$J13</f>
        <v>3.2656820321083066E-2</v>
      </c>
      <c r="K13" s="25">
        <f>'Asset Returns'!K13-'Risk Factors'!$J13</f>
        <v>0.13595922460556031</v>
      </c>
      <c r="L13" s="25">
        <f>'Asset Returns'!L13-'Risk Factors'!$J13</f>
        <v>0.10699424316883087</v>
      </c>
      <c r="M13" s="25">
        <f>'Asset Returns'!M13-'Risk Factors'!$J13</f>
        <v>3.7266423755884168E-2</v>
      </c>
      <c r="N13" s="25">
        <f>'Asset Returns'!N13-'Risk Factors'!$J13</f>
        <v>4.6740871086716649E-3</v>
      </c>
      <c r="O13" s="25"/>
      <c r="P13" s="421">
        <f>'Asset Returns'!P13</f>
        <v>40543</v>
      </c>
      <c r="Q13" s="25">
        <f>'Asset Returns'!Q13-'Risk Factors'!$J13</f>
        <v>-2.0218154986037528E-2</v>
      </c>
      <c r="R13" s="25">
        <f>'Asset Returns'!R13-'Risk Factors'!$J13</f>
        <v>-2.6157785299806623E-2</v>
      </c>
      <c r="S13" s="260"/>
      <c r="T13" s="421">
        <f>'Asset Returns'!T13</f>
        <v>40543</v>
      </c>
      <c r="U13" s="25">
        <f>'Asset Returns'!U13-'Risk Factors'!$J13</f>
        <v>8.9137749999999988E-2</v>
      </c>
      <c r="V13" s="25">
        <f>'Asset Returns'!V13-'Risk Factors'!$J13</f>
        <v>7.3067900000000005E-2</v>
      </c>
      <c r="W13" s="25">
        <f>'Asset Returns'!W13-'Risk Factors'!$J13</f>
        <v>7.2154509999999991E-2</v>
      </c>
      <c r="X13" s="25">
        <f>'Asset Returns'!X13-'Risk Factors'!$J13</f>
        <v>8.5974185146863155E-2</v>
      </c>
      <c r="Y13" s="25">
        <f>'Asset Returns'!Y13-'Risk Factors'!$J13</f>
        <v>-0.1594554</v>
      </c>
      <c r="Z13" s="25">
        <f>'Asset Returns'!Z13-'Risk Factors'!$J13</f>
        <v>4.0775099999999995E-2</v>
      </c>
      <c r="AA13" s="25">
        <f>'Asset Returns'!AA13-'Risk Factors'!$J13</f>
        <v>7.2908399999999998E-2</v>
      </c>
      <c r="AB13" s="25">
        <f>'Asset Returns'!AB13-'Risk Factors'!$J13</f>
        <v>8.3612739999999991E-2</v>
      </c>
      <c r="AC13" s="25">
        <f>'Asset Returns'!AC13-'Risk Factors'!$J13</f>
        <v>0.1073235</v>
      </c>
    </row>
    <row r="14" spans="5:29">
      <c r="E14" s="421">
        <f>'Asset Returns'!E14</f>
        <v>40574</v>
      </c>
      <c r="F14" s="25">
        <f>'Asset Returns'!F14-'Risk Factors'!$J14</f>
        <v>4.3508337640762326E-2</v>
      </c>
      <c r="G14" s="25">
        <f>'Asset Returns'!G14-'Risk Factors'!$J14</f>
        <v>8.8675314390659329E-2</v>
      </c>
      <c r="H14" s="25">
        <f>'Asset Returns'!H14-'Risk Factors'!$J14</f>
        <v>6.5260955893993375E-2</v>
      </c>
      <c r="I14" s="25">
        <f>'Asset Returns'!I14-'Risk Factors'!$J14</f>
        <v>-0.14630505273342131</v>
      </c>
      <c r="J14" s="25">
        <f>'Asset Returns'!J14-'Risk Factors'!$J14</f>
        <v>4.5072430574893949E-2</v>
      </c>
      <c r="K14" s="25">
        <f>'Asset Returns'!K14-'Risk Factors'!$J14</f>
        <v>1.4852383004128934E-2</v>
      </c>
      <c r="L14" s="25">
        <f>'Asset Returns'!L14-'Risk Factors'!$J14</f>
        <v>7.3549182915687558E-2</v>
      </c>
      <c r="M14" s="25">
        <f>'Asset Returns'!M14-'Risk Factors'!$J14</f>
        <v>0.10364300181865692</v>
      </c>
      <c r="N14" s="25">
        <f>'Asset Returns'!N14-'Risk Factors'!$J14</f>
        <v>-3.3829750663042071E-2</v>
      </c>
      <c r="O14" s="25"/>
      <c r="P14" s="421">
        <f>'Asset Returns'!P14</f>
        <v>40574</v>
      </c>
      <c r="Q14" s="25">
        <f>'Asset Returns'!Q14-'Risk Factors'!$J14</f>
        <v>-1.6769371700256729E-2</v>
      </c>
      <c r="R14" s="25">
        <f>'Asset Returns'!R14-'Risk Factors'!$J14</f>
        <v>-2.8729234960807825E-2</v>
      </c>
      <c r="S14" s="260"/>
      <c r="T14" s="421">
        <f>'Asset Returns'!T14</f>
        <v>40574</v>
      </c>
      <c r="U14" s="25">
        <f>'Asset Returns'!U14-'Risk Factors'!$J14</f>
        <v>3.7633679999999996E-2</v>
      </c>
      <c r="V14" s="25">
        <f>'Asset Returns'!V14-'Risk Factors'!$J14</f>
        <v>4.1508999999999997E-2</v>
      </c>
      <c r="W14" s="25">
        <f>'Asset Returns'!W14-'Risk Factors'!$J14</f>
        <v>6.5281799999999997E-3</v>
      </c>
      <c r="X14" s="25">
        <f>'Asset Returns'!X14-'Risk Factors'!$J14</f>
        <v>3.1446184601783042E-2</v>
      </c>
      <c r="Y14" s="25">
        <f>'Asset Returns'!Y14-'Risk Factors'!$J14</f>
        <v>-0.1420063</v>
      </c>
      <c r="Z14" s="25">
        <f>'Asset Returns'!Z14-'Risk Factors'!$J14</f>
        <v>-0.10108739999999999</v>
      </c>
      <c r="AA14" s="25">
        <f>'Asset Returns'!AA14-'Risk Factors'!$J14</f>
        <v>2.3330699999999999E-2</v>
      </c>
      <c r="AB14" s="25">
        <f>'Asset Returns'!AB14-'Risk Factors'!$J14</f>
        <v>7.8172800000000011E-3</v>
      </c>
      <c r="AC14" s="25">
        <f>'Asset Returns'!AC14-'Risk Factors'!$J14</f>
        <v>5.4089600000000002E-2</v>
      </c>
    </row>
    <row r="15" spans="5:29">
      <c r="E15" s="421">
        <f>'Asset Returns'!E15</f>
        <v>40602</v>
      </c>
      <c r="F15" s="25">
        <f>'Asset Returns'!F15-'Risk Factors'!$J15</f>
        <v>0.10369427671432495</v>
      </c>
      <c r="G15" s="25">
        <f>'Asset Returns'!G15-'Risk Factors'!$J15</f>
        <v>-1.4876511948183179E-3</v>
      </c>
      <c r="H15" s="25">
        <f>'Asset Returns'!H15-'Risk Factors'!$J15</f>
        <v>4.5312324368953702E-2</v>
      </c>
      <c r="I15" s="25">
        <f>'Asset Returns'!I15-'Risk Factors'!$J15</f>
        <v>-4.2806638574600223E-2</v>
      </c>
      <c r="J15" s="25">
        <f>'Asset Returns'!J15-'Risk Factors'!$J15</f>
        <v>0.12332927604913711</v>
      </c>
      <c r="K15" s="25">
        <f>'Asset Returns'!K15-'Risk Factors'!$J15</f>
        <v>4.6837726438045499E-2</v>
      </c>
      <c r="L15" s="25">
        <f>'Asset Returns'!L15-'Risk Factors'!$J15</f>
        <v>4.3672917240858075E-2</v>
      </c>
      <c r="M15" s="25">
        <f>'Asset Returns'!M15-'Risk Factors'!$J15</f>
        <v>2.970840844884515E-3</v>
      </c>
      <c r="N15" s="25">
        <f>'Asset Returns'!N15-'Risk Factors'!$J15</f>
        <v>3.7047745490074155E-2</v>
      </c>
      <c r="O15" s="25"/>
      <c r="P15" s="421">
        <f>'Asset Returns'!P15</f>
        <v>40602</v>
      </c>
      <c r="Q15" s="25">
        <f>'Asset Returns'!Q15-'Risk Factors'!$J15</f>
        <v>1.178384127693043E-2</v>
      </c>
      <c r="R15" s="25">
        <f>'Asset Returns'!R15-'Risk Factors'!$J15</f>
        <v>5.2613406936029565E-4</v>
      </c>
      <c r="S15" s="260"/>
      <c r="T15" s="421">
        <f>'Asset Returns'!T15</f>
        <v>40602</v>
      </c>
      <c r="U15" s="25">
        <f>'Asset Returns'!U15-'Risk Factors'!$J15</f>
        <v>2.8644139999999998E-2</v>
      </c>
      <c r="V15" s="25">
        <f>'Asset Returns'!V15-'Risk Factors'!$J15</f>
        <v>3.7915400000000002E-2</v>
      </c>
      <c r="W15" s="25">
        <f>'Asset Returns'!W15-'Risk Factors'!$J15</f>
        <v>2.0010860000000002E-2</v>
      </c>
      <c r="X15" s="25">
        <f>'Asset Returns'!X15-'Risk Factors'!$J15</f>
        <v>3.1662681896226216E-2</v>
      </c>
      <c r="Y15" s="25">
        <f>'Asset Returns'!Y15-'Risk Factors'!$J15</f>
        <v>-0.14003169999999998</v>
      </c>
      <c r="Z15" s="25">
        <f>'Asset Returns'!Z15-'Risk Factors'!$J15</f>
        <v>8.826740000000001E-2</v>
      </c>
      <c r="AA15" s="25">
        <f>'Asset Returns'!AA15-'Risk Factors'!$J15</f>
        <v>3.5141499999999999E-2</v>
      </c>
      <c r="AB15" s="25">
        <f>'Asset Returns'!AB15-'Risk Factors'!$J15</f>
        <v>2.7062069999999997E-2</v>
      </c>
      <c r="AC15" s="25">
        <f>'Asset Returns'!AC15-'Risk Factors'!$J15</f>
        <v>6.1747299999999998E-2</v>
      </c>
    </row>
    <row r="16" spans="5:29">
      <c r="E16" s="421">
        <f>'Asset Returns'!E16</f>
        <v>40633</v>
      </c>
      <c r="F16" s="25">
        <f>'Asset Returns'!F16-'Risk Factors'!$J16</f>
        <v>0.10358161648511886</v>
      </c>
      <c r="G16" s="25">
        <f>'Asset Returns'!G16-'Risk Factors'!$J16</f>
        <v>0.25962974300384523</v>
      </c>
      <c r="H16" s="25">
        <f>'Asset Returns'!H16-'Risk Factors'!$J16</f>
        <v>-9.5755865967273715E-2</v>
      </c>
      <c r="I16" s="25">
        <f>'Asset Returns'!I16-'Risk Factors'!$J16</f>
        <v>0.17006640305519105</v>
      </c>
      <c r="J16" s="25">
        <f>'Asset Returns'!J16-'Risk Factors'!$J16</f>
        <v>-0.12529815564155578</v>
      </c>
      <c r="K16" s="25">
        <f>'Asset Returns'!K16-'Risk Factors'!$J16</f>
        <v>-2.0739605820178985E-2</v>
      </c>
      <c r="L16" s="25">
        <f>'Asset Returns'!L16-'Risk Factors'!$J16</f>
        <v>-3.904058242440224E-2</v>
      </c>
      <c r="M16" s="25">
        <f>'Asset Returns'!M16-'Risk Factors'!$J16</f>
        <v>7.1511308826506135E-3</v>
      </c>
      <c r="N16" s="25">
        <f>'Asset Returns'!N16-'Risk Factors'!$J16</f>
        <v>-3.5844532942771914E-2</v>
      </c>
      <c r="O16" s="25"/>
      <c r="P16" s="421">
        <f>'Asset Returns'!P16</f>
        <v>40633</v>
      </c>
      <c r="Q16" s="25">
        <f>'Asset Returns'!Q16-'Risk Factors'!$J16</f>
        <v>-1.827099145085953E-3</v>
      </c>
      <c r="R16" s="25">
        <f>'Asset Returns'!R16-'Risk Factors'!$J16</f>
        <v>1.5326462512929896E-2</v>
      </c>
      <c r="S16" s="260"/>
      <c r="T16" s="421">
        <f>'Asset Returns'!T16</f>
        <v>40633</v>
      </c>
      <c r="U16" s="25">
        <f>'Asset Returns'!U16-'Risk Factors'!$J16</f>
        <v>1.2355039999999999E-2</v>
      </c>
      <c r="V16" s="25">
        <f>'Asset Returns'!V16-'Risk Factors'!$J16</f>
        <v>9.3959199999999993E-2</v>
      </c>
      <c r="W16" s="25">
        <f>'Asset Returns'!W16-'Risk Factors'!$J16</f>
        <v>-1.49092E-3</v>
      </c>
      <c r="X16" s="25">
        <f>'Asset Returns'!X16-'Risk Factors'!$J16</f>
        <v>3.5811572408275152E-3</v>
      </c>
      <c r="Y16" s="25">
        <f>'Asset Returns'!Y16-'Risk Factors'!$J16</f>
        <v>-4.4111500000000005E-2</v>
      </c>
      <c r="Z16" s="25">
        <f>'Asset Returns'!Z16-'Risk Factors'!$J16</f>
        <v>-1.3861499999999999E-2</v>
      </c>
      <c r="AA16" s="25">
        <f>'Asset Returns'!AA16-'Risk Factors'!$J16</f>
        <v>-1.2545799999999999E-2</v>
      </c>
      <c r="AB16" s="25">
        <f>'Asset Returns'!AB16-'Risk Factors'!$J16</f>
        <v>-9.8505199999999998E-3</v>
      </c>
      <c r="AC16" s="25">
        <f>'Asset Returns'!AC16-'Risk Factors'!$J16</f>
        <v>1.3231900000000001E-2</v>
      </c>
    </row>
    <row r="17" spans="2:29">
      <c r="E17" s="421">
        <f>'Asset Returns'!E17</f>
        <v>40663</v>
      </c>
      <c r="F17" s="25">
        <f>'Asset Returns'!F17-'Risk Factors'!$J17</f>
        <v>5.0350245088338852E-2</v>
      </c>
      <c r="G17" s="25">
        <f>'Asset Returns'!G17-'Risk Factors'!$J17</f>
        <v>-0.18102307617664337</v>
      </c>
      <c r="H17" s="25">
        <f>'Asset Returns'!H17-'Risk Factors'!$J17</f>
        <v>6.0143981128931046E-2</v>
      </c>
      <c r="I17" s="25">
        <f>'Asset Returns'!I17-'Risk Factors'!$J17</f>
        <v>-6.9666438503190875E-4</v>
      </c>
      <c r="J17" s="25">
        <f>'Asset Returns'!J17-'Risk Factors'!$J17</f>
        <v>-1.5144772827625275E-2</v>
      </c>
      <c r="K17" s="25">
        <f>'Asset Returns'!K17-'Risk Factors'!$J17</f>
        <v>-4.0876004844903946E-2</v>
      </c>
      <c r="L17" s="25">
        <f>'Asset Returns'!L17-'Risk Factors'!$J17</f>
        <v>1.1761157773435116E-2</v>
      </c>
      <c r="M17" s="25">
        <f>'Asset Returns'!M17-'Risk Factors'!$J17</f>
        <v>4.605383425951004E-2</v>
      </c>
      <c r="N17" s="25">
        <f>'Asset Returns'!N17-'Risk Factors'!$J17</f>
        <v>0.10919830948114395</v>
      </c>
      <c r="O17" s="25"/>
      <c r="P17" s="421">
        <f>'Asset Returns'!P17</f>
        <v>40663</v>
      </c>
      <c r="Q17" s="25">
        <f>'Asset Returns'!Q17-'Risk Factors'!$J17</f>
        <v>1.4354917772801068E-2</v>
      </c>
      <c r="R17" s="25">
        <f>'Asset Returns'!R17-'Risk Factors'!$J17</f>
        <v>7.5268817204301453E-3</v>
      </c>
      <c r="S17" s="260"/>
      <c r="T17" s="421">
        <f>'Asset Returns'!T17</f>
        <v>40663</v>
      </c>
      <c r="U17" s="25">
        <f>'Asset Returns'!U17-'Risk Factors'!$J17</f>
        <v>7.4233049999999995E-2</v>
      </c>
      <c r="V17" s="25">
        <f>'Asset Returns'!V17-'Risk Factors'!$J17</f>
        <v>-1.9689999999999999E-2</v>
      </c>
      <c r="W17" s="25">
        <f>'Asset Returns'!W17-'Risk Factors'!$J17</f>
        <v>3.7456900000000001E-2</v>
      </c>
      <c r="X17" s="25">
        <f>'Asset Returns'!X17-'Risk Factors'!$J17</f>
        <v>4.1559881450940361E-2</v>
      </c>
      <c r="Y17" s="25">
        <f>'Asset Returns'!Y17-'Risk Factors'!$J17</f>
        <v>-3.2452800000000004E-2</v>
      </c>
      <c r="Z17" s="25">
        <f>'Asset Returns'!Z17-'Risk Factors'!$J17</f>
        <v>2.1395300000000003E-2</v>
      </c>
      <c r="AA17" s="25">
        <f>'Asset Returns'!AA17-'Risk Factors'!$J17</f>
        <v>4.2289800000000002E-2</v>
      </c>
      <c r="AB17" s="25">
        <f>'Asset Returns'!AB17-'Risk Factors'!$J17</f>
        <v>5.4458300000000001E-2</v>
      </c>
      <c r="AC17" s="25">
        <f>'Asset Returns'!AC17-'Risk Factors'!$J17</f>
        <v>8.1419200000000011E-2</v>
      </c>
    </row>
    <row r="18" spans="2:29">
      <c r="E18" s="421">
        <f>'Asset Returns'!E18</f>
        <v>40694</v>
      </c>
      <c r="F18" s="25">
        <f>'Asset Returns'!F18-'Risk Factors'!$J18</f>
        <v>-0.1225510835647583</v>
      </c>
      <c r="G18" s="25">
        <f>'Asset Returns'!G18-'Risk Factors'!$J18</f>
        <v>-0.15322484076023102</v>
      </c>
      <c r="H18" s="25">
        <f>'Asset Returns'!H18-'Risk Factors'!$J18</f>
        <v>8.7378118187189102E-3</v>
      </c>
      <c r="I18" s="25">
        <f>'Asset Returns'!I18-'Risk Factors'!$J18</f>
        <v>-0.13076105713844299</v>
      </c>
      <c r="J18" s="25">
        <f>'Asset Returns'!J18-'Risk Factors'!$J18</f>
        <v>5.1332909613847733E-2</v>
      </c>
      <c r="K18" s="25">
        <f>'Asset Returns'!K18-'Risk Factors'!$J18</f>
        <v>-6.7054219543933868E-2</v>
      </c>
      <c r="L18" s="25">
        <f>'Asset Returns'!L18-'Risk Factors'!$J18</f>
        <v>3.2190758734941483E-2</v>
      </c>
      <c r="M18" s="25">
        <f>'Asset Returns'!M18-'Risk Factors'!$J18</f>
        <v>-5.2750660106539726E-3</v>
      </c>
      <c r="N18" s="25">
        <f>'Asset Returns'!N18-'Risk Factors'!$J18</f>
        <v>3.2798048108816147E-2</v>
      </c>
      <c r="O18" s="25"/>
      <c r="P18" s="421">
        <f>'Asset Returns'!P18</f>
        <v>40694</v>
      </c>
      <c r="Q18" s="25">
        <f>'Asset Returns'!Q18-'Risk Factors'!$J18</f>
        <v>2.2850347516688796E-2</v>
      </c>
      <c r="R18" s="25">
        <f>'Asset Returns'!R18-'Risk Factors'!$J18</f>
        <v>3.0406860266996016E-2</v>
      </c>
      <c r="S18" s="260"/>
      <c r="T18" s="421">
        <f>'Asset Returns'!T18</f>
        <v>40694</v>
      </c>
      <c r="U18" s="25">
        <f>'Asset Returns'!U18-'Risk Factors'!$J18</f>
        <v>-4.0210160000000002E-2</v>
      </c>
      <c r="V18" s="25">
        <f>'Asset Returns'!V18-'Risk Factors'!$J18</f>
        <v>-7.9860399999999998E-2</v>
      </c>
      <c r="W18" s="25">
        <f>'Asset Returns'!W18-'Risk Factors'!$J18</f>
        <v>-1.25688E-2</v>
      </c>
      <c r="X18" s="25">
        <f>'Asset Returns'!X18-'Risk Factors'!$J18</f>
        <v>-2.4673289731310666E-2</v>
      </c>
      <c r="Y18" s="25">
        <f>'Asset Returns'!Y18-'Risk Factors'!$J18</f>
        <v>7.7223100000000003E-2</v>
      </c>
      <c r="Z18" s="25">
        <f>'Asset Returns'!Z18-'Risk Factors'!$J18</f>
        <v>-8.0145700000000014E-2</v>
      </c>
      <c r="AA18" s="25">
        <f>'Asset Returns'!AA18-'Risk Factors'!$J18</f>
        <v>-2.0167099999999997E-2</v>
      </c>
      <c r="AB18" s="25">
        <f>'Asset Returns'!AB18-'Risk Factors'!$J18</f>
        <v>-3.3204250000000005E-2</v>
      </c>
      <c r="AC18" s="25">
        <f>'Asset Returns'!AC18-'Risk Factors'!$J18</f>
        <v>-3.3406499999999999E-2</v>
      </c>
    </row>
    <row r="19" spans="2:29">
      <c r="E19" s="421">
        <f>'Asset Returns'!E19</f>
        <v>40724</v>
      </c>
      <c r="F19" s="25">
        <f>'Asset Returns'!F19-'Risk Factors'!$J19</f>
        <v>1.9002810586243868E-3</v>
      </c>
      <c r="G19" s="25">
        <f>'Asset Returns'!G19-'Risk Factors'!$J19</f>
        <v>-0.22881348431110382</v>
      </c>
      <c r="H19" s="25">
        <f>'Asset Returns'!H19-'Risk Factors'!$J19</f>
        <v>-4.4812750071287155E-2</v>
      </c>
      <c r="I19" s="25">
        <f>'Asset Returns'!I19-'Risk Factors'!$J19</f>
        <v>-8.5349157452583313E-2</v>
      </c>
      <c r="J19" s="25">
        <f>'Asset Returns'!J19-'Risk Factors'!$J19</f>
        <v>-2.3644760251045227E-2</v>
      </c>
      <c r="K19" s="25">
        <f>'Asset Returns'!K19-'Risk Factors'!$J19</f>
        <v>-7.3373690247535706E-2</v>
      </c>
      <c r="L19" s="25">
        <f>'Asset Returns'!L19-'Risk Factors'!$J19</f>
        <v>-9.1827891767024994E-2</v>
      </c>
      <c r="M19" s="25">
        <f>'Asset Returns'!M19-'Risk Factors'!$J19</f>
        <v>1.5509380027651787E-2</v>
      </c>
      <c r="N19" s="25">
        <f>'Asset Returns'!N19-'Risk Factors'!$J19</f>
        <v>-1.1443008668720722E-2</v>
      </c>
      <c r="O19" s="25"/>
      <c r="P19" s="421">
        <f>'Asset Returns'!P19</f>
        <v>40724</v>
      </c>
      <c r="Q19" s="25">
        <f>'Asset Returns'!Q19-'Risk Factors'!$J19</f>
        <v>-2.0195282826598437E-2</v>
      </c>
      <c r="R19" s="25">
        <f>'Asset Returns'!R19-'Risk Factors'!$J19</f>
        <v>-4.2350347367337116E-2</v>
      </c>
      <c r="S19" s="260"/>
      <c r="T19" s="421">
        <f>'Asset Returns'!T19</f>
        <v>40724</v>
      </c>
      <c r="U19" s="25">
        <f>'Asset Returns'!U19-'Risk Factors'!$J19</f>
        <v>-1.349654E-2</v>
      </c>
      <c r="V19" s="25">
        <f>'Asset Returns'!V19-'Risk Factors'!$J19</f>
        <v>-3.1852699999999998E-2</v>
      </c>
      <c r="W19" s="25">
        <f>'Asset Returns'!W19-'Risk Factors'!$J19</f>
        <v>-1.6906609999999999E-2</v>
      </c>
      <c r="X19" s="25">
        <f>'Asset Returns'!X19-'Risk Factors'!$J19</f>
        <v>-1.9036715782131175E-2</v>
      </c>
      <c r="Y19" s="25">
        <f>'Asset Returns'!Y19-'Risk Factors'!$J19</f>
        <v>1.99131E-2</v>
      </c>
      <c r="Z19" s="25">
        <f>'Asset Returns'!Z19-'Risk Factors'!$J19</f>
        <v>-9.5544600000000007E-2</v>
      </c>
      <c r="AA19" s="25">
        <f>'Asset Returns'!AA19-'Risk Factors'!$J19</f>
        <v>-1.55715E-2</v>
      </c>
      <c r="AB19" s="25">
        <f>'Asset Returns'!AB19-'Risk Factors'!$J19</f>
        <v>-2.0874700000000003E-2</v>
      </c>
      <c r="AC19" s="25">
        <f>'Asset Returns'!AC19-'Risk Factors'!$J19</f>
        <v>-2.5482300000000003E-2</v>
      </c>
    </row>
    <row r="20" spans="2:29">
      <c r="E20" s="421">
        <f>'Asset Returns'!E20</f>
        <v>40755</v>
      </c>
      <c r="F20" s="25">
        <f>'Asset Returns'!F20-'Risk Factors'!$J20</f>
        <v>-1.1853959411382675E-2</v>
      </c>
      <c r="G20" s="25">
        <f>'Asset Returns'!G20-'Risk Factors'!$J20</f>
        <v>-4.8468265682458878E-2</v>
      </c>
      <c r="H20" s="25">
        <f>'Asset Returns'!H20-'Risk Factors'!$J20</f>
        <v>2.7694474905729294E-2</v>
      </c>
      <c r="I20" s="25">
        <f>'Asset Returns'!I20-'Risk Factors'!$J20</f>
        <v>-1.5700085088610649E-2</v>
      </c>
      <c r="J20" s="25">
        <f>'Asset Returns'!J20-'Risk Factors'!$J20</f>
        <v>2.8350591310299933E-4</v>
      </c>
      <c r="K20" s="25">
        <f>'Asset Returns'!K20-'Risk Factors'!$J20</f>
        <v>-2.8999542817473412E-2</v>
      </c>
      <c r="L20" s="25">
        <f>'Asset Returns'!L20-'Risk Factors'!$J20</f>
        <v>-0.11891891807317734</v>
      </c>
      <c r="M20" s="25">
        <f>'Asset Returns'!M20-'Risk Factors'!$J20</f>
        <v>6.0040801763534546E-2</v>
      </c>
      <c r="N20" s="25">
        <f>'Asset Returns'!N20-'Risk Factors'!$J20</f>
        <v>-2.6007216423749924E-2</v>
      </c>
      <c r="O20" s="25"/>
      <c r="P20" s="421">
        <f>'Asset Returns'!P20</f>
        <v>40755</v>
      </c>
      <c r="Q20" s="25">
        <f>'Asset Returns'!Q20-'Risk Factors'!$J20</f>
        <v>5.0956829226783684E-2</v>
      </c>
      <c r="R20" s="25">
        <f>'Asset Returns'!R20-'Risk Factors'!$J20</f>
        <v>3.1782274029612978E-2</v>
      </c>
      <c r="S20" s="260"/>
      <c r="T20" s="421">
        <f>'Asset Returns'!T20</f>
        <v>40755</v>
      </c>
      <c r="U20" s="25">
        <f>'Asset Returns'!U20-'Risk Factors'!$J20</f>
        <v>-2.7424900000000002E-2</v>
      </c>
      <c r="V20" s="25">
        <f>'Asset Returns'!V20-'Risk Factors'!$J20</f>
        <v>-9.1147800000000001E-2</v>
      </c>
      <c r="W20" s="25">
        <f>'Asset Returns'!W20-'Risk Factors'!$J20</f>
        <v>-3.1031089999999997E-2</v>
      </c>
      <c r="X20" s="25">
        <f>'Asset Returns'!X20-'Risk Factors'!$J20</f>
        <v>-3.1496155819449312E-2</v>
      </c>
      <c r="Y20" s="25">
        <f>'Asset Returns'!Y20-'Risk Factors'!$J20</f>
        <v>-3.2658900000000005E-2</v>
      </c>
      <c r="Z20" s="25">
        <f>'Asset Returns'!Z20-'Risk Factors'!$J20</f>
        <v>4.2145599999999998E-2</v>
      </c>
      <c r="AA20" s="25">
        <f>'Asset Returns'!AA20-'Risk Factors'!$J20</f>
        <v>-1.9722799999999999E-2</v>
      </c>
      <c r="AB20" s="25">
        <f>'Asset Returns'!AB20-'Risk Factors'!$J20</f>
        <v>-3.7820360000000004E-2</v>
      </c>
      <c r="AC20" s="25">
        <f>'Asset Returns'!AC20-'Risk Factors'!$J20</f>
        <v>-4.5415999999999998E-2</v>
      </c>
    </row>
    <row r="21" spans="2:29">
      <c r="E21" s="421">
        <f>'Asset Returns'!E21</f>
        <v>40786</v>
      </c>
      <c r="F21" s="25">
        <f>'Asset Returns'!F21-'Risk Factors'!$J21</f>
        <v>-0.1448736769914627</v>
      </c>
      <c r="G21" s="25">
        <f>'Asset Returns'!G21-'Risk Factors'!$J21</f>
        <v>-4.6996159648895267E-2</v>
      </c>
      <c r="H21" s="25">
        <f>'Asset Returns'!H21-'Risk Factors'!$J21</f>
        <v>-0.12562544474601745</v>
      </c>
      <c r="I21" s="25">
        <f>'Asset Returns'!I21-'Risk Factors'!$J21</f>
        <v>-0.24888916144371032</v>
      </c>
      <c r="J21" s="25">
        <f>'Asset Returns'!J21-'Risk Factors'!$J21</f>
        <v>-0.12548155913352965</v>
      </c>
      <c r="K21" s="25">
        <f>'Asset Returns'!K21-'Risk Factors'!$J21</f>
        <v>-0.14955842325687407</v>
      </c>
      <c r="L21" s="25">
        <f>'Asset Returns'!L21-'Risk Factors'!$J21</f>
        <v>-8.9337496256828311E-2</v>
      </c>
      <c r="M21" s="25">
        <f>'Asset Returns'!M21-'Risk Factors'!$J21</f>
        <v>-5.05949726164341E-2</v>
      </c>
      <c r="N21" s="25">
        <f>'Asset Returns'!N21-'Risk Factors'!$J21</f>
        <v>2.4394513869285584E-2</v>
      </c>
      <c r="O21" s="25"/>
      <c r="P21" s="421">
        <f>'Asset Returns'!P21</f>
        <v>40786</v>
      </c>
      <c r="Q21" s="25">
        <f>'Asset Returns'!Q21-'Risk Factors'!$J21</f>
        <v>6.9761590294677309E-2</v>
      </c>
      <c r="R21" s="25">
        <f>'Asset Returns'!R21-'Risk Factors'!$J21</f>
        <v>6.8905467964593056E-2</v>
      </c>
      <c r="S21" s="260"/>
      <c r="T21" s="421">
        <f>'Asset Returns'!T21</f>
        <v>40786</v>
      </c>
      <c r="U21" s="25">
        <f>'Asset Returns'!U21-'Risk Factors'!$J21</f>
        <v>-0.14424146999999998</v>
      </c>
      <c r="V21" s="25">
        <f>'Asset Returns'!V21-'Risk Factors'!$J21</f>
        <v>-9.5127799999999998E-2</v>
      </c>
      <c r="W21" s="25">
        <f>'Asset Returns'!W21-'Risk Factors'!$J21</f>
        <v>-5.9313209999999998E-2</v>
      </c>
      <c r="X21" s="25">
        <f>'Asset Returns'!X21-'Risk Factors'!$J21</f>
        <v>-6.9409962378417581E-2</v>
      </c>
      <c r="Y21" s="25">
        <f>'Asset Returns'!Y21-'Risk Factors'!$J21</f>
        <v>0.13604680000000002</v>
      </c>
      <c r="Z21" s="25">
        <f>'Asset Returns'!Z21-'Risk Factors'!$J21</f>
        <v>-1.1129399999999999E-2</v>
      </c>
      <c r="AA21" s="25">
        <f>'Asset Returns'!AA21-'Risk Factors'!$J21</f>
        <v>-7.2160600000000005E-2</v>
      </c>
      <c r="AB21" s="25">
        <f>'Asset Returns'!AB21-'Risk Factors'!$J21</f>
        <v>-9.0475159999999999E-2</v>
      </c>
      <c r="AC21" s="25">
        <f>'Asset Returns'!AC21-'Risk Factors'!$J21</f>
        <v>-9.3922800000000001E-2</v>
      </c>
    </row>
    <row r="22" spans="2:29">
      <c r="E22" s="421">
        <f>'Asset Returns'!E22</f>
        <v>40816</v>
      </c>
      <c r="F22" s="25">
        <f>'Asset Returns'!F22-'Risk Factors'!$J22</f>
        <v>-0.21654981374740601</v>
      </c>
      <c r="G22" s="25">
        <f>'Asset Returns'!G22-'Risk Factors'!$J22</f>
        <v>-0.22290812432765961</v>
      </c>
      <c r="H22" s="25">
        <f>'Asset Returns'!H22-'Risk Factors'!$J22</f>
        <v>-7.6423346996307373E-2</v>
      </c>
      <c r="I22" s="25">
        <f>'Asset Returns'!I22-'Risk Factors'!$J22</f>
        <v>-1.1654149740934372E-2</v>
      </c>
      <c r="J22" s="25">
        <f>'Asset Returns'!J22-'Risk Factors'!$J22</f>
        <v>-1.7317973077297211E-2</v>
      </c>
      <c r="K22" s="25">
        <f>'Asset Returns'!K22-'Risk Factors'!$J22</f>
        <v>-0.14278250932693481</v>
      </c>
      <c r="L22" s="25">
        <f>'Asset Returns'!L22-'Risk Factors'!$J22</f>
        <v>-4.2393025010824203E-2</v>
      </c>
      <c r="M22" s="25">
        <f>'Asset Returns'!M22-'Risk Factors'!$J22</f>
        <v>1.7218306660652161E-2</v>
      </c>
      <c r="N22" s="25">
        <f>'Asset Returns'!N22-'Risk Factors'!$J22</f>
        <v>-3.2066870480775833E-2</v>
      </c>
      <c r="O22" s="25"/>
      <c r="P22" s="421">
        <f>'Asset Returns'!P22</f>
        <v>40816</v>
      </c>
      <c r="Q22" s="25">
        <f>'Asset Returns'!Q22-'Risk Factors'!$J22</f>
        <v>2.9300964505848404E-2</v>
      </c>
      <c r="R22" s="25">
        <f>'Asset Returns'!R22-'Risk Factors'!$J22</f>
        <v>1.9743217748825703E-2</v>
      </c>
      <c r="S22" s="260"/>
      <c r="T22" s="421">
        <f>'Asset Returns'!T22</f>
        <v>40816</v>
      </c>
      <c r="U22" s="25">
        <f>'Asset Returns'!U22-'Risk Factors'!$J22</f>
        <v>-8.0367149999999998E-2</v>
      </c>
      <c r="V22" s="25">
        <f>'Asset Returns'!V22-'Risk Factors'!$J22</f>
        <v>-0.29215440000000004</v>
      </c>
      <c r="W22" s="25">
        <f>'Asset Returns'!W22-'Risk Factors'!$J22</f>
        <v>-0.10025181</v>
      </c>
      <c r="X22" s="25">
        <f>'Asset Returns'!X22-'Risk Factors'!$J22</f>
        <v>-9.6962560259445163E-2</v>
      </c>
      <c r="Y22" s="25">
        <f>'Asset Returns'!Y22-'Risk Factors'!$J22</f>
        <v>0.27583980000000002</v>
      </c>
      <c r="Z22" s="25">
        <f>'Asset Returns'!Z22-'Risk Factors'!$J22</f>
        <v>-0.16569299999999998</v>
      </c>
      <c r="AA22" s="25">
        <f>'Asset Returns'!AA22-'Risk Factors'!$J22</f>
        <v>-8.5938500000000001E-2</v>
      </c>
      <c r="AB22" s="25">
        <f>'Asset Returns'!AB22-'Risk Factors'!$J22</f>
        <v>-9.4264749999999994E-2</v>
      </c>
      <c r="AC22" s="25">
        <f>'Asset Returns'!AC22-'Risk Factors'!$J22</f>
        <v>-0.1225064</v>
      </c>
    </row>
    <row r="23" spans="2:29">
      <c r="B23" s="123"/>
      <c r="E23" s="421">
        <f>'Asset Returns'!E23</f>
        <v>40847</v>
      </c>
      <c r="F23" s="25">
        <f>'Asset Returns'!F23-'Risk Factors'!$J23</f>
        <v>0.22466886043548584</v>
      </c>
      <c r="G23" s="25">
        <f>'Asset Returns'!G23-'Risk Factors'!$J23</f>
        <v>-3.4203357994556427E-2</v>
      </c>
      <c r="H23" s="25">
        <f>'Asset Returns'!H23-'Risk Factors'!$J23</f>
        <v>0.22949913144111633</v>
      </c>
      <c r="I23" s="25">
        <f>'Asset Returns'!I23-'Risk Factors'!$J23</f>
        <v>0.27902090549468994</v>
      </c>
      <c r="J23" s="25">
        <f>'Asset Returns'!J23-'Risk Factors'!$J23</f>
        <v>-2.7662565931677818E-2</v>
      </c>
      <c r="K23" s="25">
        <f>'Asset Returns'!K23-'Risk Factors'!$J23</f>
        <v>0.15810450911521912</v>
      </c>
      <c r="L23" s="25">
        <f>'Asset Returns'!L23-'Risk Factors'!$J23</f>
        <v>0.21679767966270447</v>
      </c>
      <c r="M23" s="25">
        <f>'Asset Returns'!M23-'Risk Factors'!$J23</f>
        <v>5.5812887847423553E-2</v>
      </c>
      <c r="N23" s="25">
        <f>'Asset Returns'!N23-'Risk Factors'!$J23</f>
        <v>1.0990736074745655E-2</v>
      </c>
      <c r="O23" s="25"/>
      <c r="P23" s="421">
        <f>'Asset Returns'!P23</f>
        <v>40847</v>
      </c>
      <c r="Q23" s="25">
        <f>'Asset Returns'!Q23-'Risk Factors'!$J23</f>
        <v>-2.477012879323226E-2</v>
      </c>
      <c r="R23" s="25">
        <f>'Asset Returns'!R23-'Risk Factors'!$J23</f>
        <v>2.6845562103558374E-2</v>
      </c>
      <c r="S23" s="260"/>
      <c r="T23" s="421">
        <f>'Asset Returns'!T23</f>
        <v>40847</v>
      </c>
      <c r="U23" s="25">
        <f>'Asset Returns'!U23-'Risk Factors'!$J23</f>
        <v>0.13526617999999999</v>
      </c>
      <c r="V23" s="25">
        <f>'Asset Returns'!V23-'Risk Factors'!$J23</f>
        <v>5.7485700000000001E-2</v>
      </c>
      <c r="W23" s="25">
        <f>'Asset Returns'!W23-'Risk Factors'!$J23</f>
        <v>9.1471579999999997E-2</v>
      </c>
      <c r="X23" s="25">
        <f>'Asset Returns'!X23-'Risk Factors'!$J23</f>
        <v>0.1217009524193433</v>
      </c>
      <c r="Y23" s="25">
        <f>'Asset Returns'!Y23-'Risk Factors'!$J23</f>
        <v>-0.3040506</v>
      </c>
      <c r="Z23" s="25">
        <f>'Asset Returns'!Z23-'Risk Factors'!$J23</f>
        <v>9.7390199999999996E-2</v>
      </c>
      <c r="AA23" s="25">
        <f>'Asset Returns'!AA23-'Risk Factors'!$J23</f>
        <v>0.1042193</v>
      </c>
      <c r="AB23" s="25">
        <f>'Asset Returns'!AB23-'Risk Factors'!$J23</f>
        <v>0.10122566000000001</v>
      </c>
      <c r="AC23" s="25">
        <f>'Asset Returns'!AC23-'Risk Factors'!$J23</f>
        <v>0.19581589999999999</v>
      </c>
    </row>
    <row r="24" spans="2:29">
      <c r="B24" s="123"/>
      <c r="E24" s="421">
        <f>'Asset Returns'!E24</f>
        <v>40877</v>
      </c>
      <c r="F24" s="25">
        <f>'Asset Returns'!F24-'Risk Factors'!$J24</f>
        <v>-3.5667333751916885E-2</v>
      </c>
      <c r="G24" s="25">
        <f>'Asset Returns'!G24-'Risk Factors'!$J24</f>
        <v>-0.14827390015125275</v>
      </c>
      <c r="H24" s="25">
        <f>'Asset Returns'!H24-'Risk Factors'!$J24</f>
        <v>-1.6501657664775848E-2</v>
      </c>
      <c r="I24" s="25">
        <f>'Asset Returns'!I24-'Risk Factors'!$J24</f>
        <v>-0.18779569864273071</v>
      </c>
      <c r="J24" s="25">
        <f>'Asset Returns'!J24-'Risk Factors'!$J24</f>
        <v>-4.6841815114021301E-2</v>
      </c>
      <c r="K24" s="25">
        <f>'Asset Returns'!K24-'Risk Factors'!$J24</f>
        <v>-3.7755891680717468E-2</v>
      </c>
      <c r="L24" s="25">
        <f>'Asset Returns'!L24-'Risk Factors'!$J24</f>
        <v>-6.7664057016372681E-2</v>
      </c>
      <c r="M24" s="25">
        <f>'Asset Returns'!M24-'Risk Factors'!$J24</f>
        <v>2.2331174463033676E-2</v>
      </c>
      <c r="N24" s="25">
        <f>'Asset Returns'!N24-'Risk Factors'!$J24</f>
        <v>1.4475783333182335E-2</v>
      </c>
      <c r="O24" s="25"/>
      <c r="P24" s="421">
        <f>'Asset Returns'!P24</f>
        <v>40877</v>
      </c>
      <c r="Q24" s="25">
        <f>'Asset Returns'!Q24-'Risk Factors'!$J24</f>
        <v>1.71897447926046E-2</v>
      </c>
      <c r="R24" s="25">
        <f>'Asset Returns'!R24-'Risk Factors'!$J24</f>
        <v>3.0174254953287516E-2</v>
      </c>
      <c r="S24" s="260"/>
      <c r="T24" s="421">
        <f>'Asset Returns'!T24</f>
        <v>40877</v>
      </c>
      <c r="U24" s="25">
        <f>'Asset Returns'!U24-'Risk Factors'!$J24</f>
        <v>-0.10383865</v>
      </c>
      <c r="V24" s="25">
        <f>'Asset Returns'!V24-'Risk Factors'!$J24</f>
        <v>-6.5645499999999996E-2</v>
      </c>
      <c r="W24" s="25">
        <f>'Asset Returns'!W24-'Risk Factors'!$J24</f>
        <v>-2.064742E-2</v>
      </c>
      <c r="X24" s="25">
        <f>'Asset Returns'!X24-'Risk Factors'!$J24</f>
        <v>-3.923472862039934E-2</v>
      </c>
      <c r="Y24" s="25">
        <f>'Asset Returns'!Y24-'Risk Factors'!$J24</f>
        <v>-7.2753699999999991E-2</v>
      </c>
      <c r="Z24" s="25">
        <f>'Asset Returns'!Z24-'Risk Factors'!$J24</f>
        <v>-2.03016E-2</v>
      </c>
      <c r="AA24" s="25">
        <f>'Asset Returns'!AA24-'Risk Factors'!$J24</f>
        <v>-2.4925600000000003E-2</v>
      </c>
      <c r="AB24" s="25">
        <f>'Asset Returns'!AB24-'Risk Factors'!$J24</f>
        <v>-4.2179760000000004E-2</v>
      </c>
      <c r="AC24" s="25">
        <f>'Asset Returns'!AC24-'Risk Factors'!$J24</f>
        <v>1.3295999999999999E-2</v>
      </c>
    </row>
    <row r="25" spans="2:29">
      <c r="B25" s="123"/>
      <c r="E25" s="421">
        <f>'Asset Returns'!E25</f>
        <v>40908</v>
      </c>
      <c r="F25" s="25">
        <f>'Asset Returns'!F25-'Risk Factors'!$J25</f>
        <v>-6.6242270171642303E-2</v>
      </c>
      <c r="G25" s="25">
        <f>'Asset Returns'!G25-'Risk Factors'!$J25</f>
        <v>-0.19590823352336884</v>
      </c>
      <c r="H25" s="25">
        <f>'Asset Returns'!H25-'Risk Factors'!$J25</f>
        <v>-1.2424989603459835E-2</v>
      </c>
      <c r="I25" s="25">
        <f>'Asset Returns'!I25-'Risk Factors'!$J25</f>
        <v>1.6616249457001686E-2</v>
      </c>
      <c r="J25" s="25">
        <f>'Asset Returns'!J25-'Risk Factors'!$J25</f>
        <v>3.1486108899116516E-2</v>
      </c>
      <c r="K25" s="25">
        <f>'Asset Returns'!K25-'Risk Factors'!$J25</f>
        <v>4.315311461687088E-2</v>
      </c>
      <c r="L25" s="25">
        <f>'Asset Returns'!L25-'Risk Factors'!$J25</f>
        <v>3.099927119910717E-2</v>
      </c>
      <c r="M25" s="25">
        <f>'Asset Returns'!M25-'Risk Factors'!$J25</f>
        <v>-2.1914895623922348E-2</v>
      </c>
      <c r="N25" s="25">
        <f>'Asset Returns'!N25-'Risk Factors'!$J25</f>
        <v>1.3288008980453014E-2</v>
      </c>
      <c r="O25" s="25"/>
      <c r="P25" s="421">
        <f>'Asset Returns'!P25</f>
        <v>40908</v>
      </c>
      <c r="Q25" s="25">
        <f>'Asset Returns'!Q25-'Risk Factors'!$J25</f>
        <v>1.8043985818464892E-2</v>
      </c>
      <c r="R25" s="25">
        <f>'Asset Returns'!R25-'Risk Factors'!$J25</f>
        <v>2.8227264028577892E-2</v>
      </c>
      <c r="S25" s="260"/>
      <c r="T25" s="421">
        <f>'Asset Returns'!T25</f>
        <v>40908</v>
      </c>
      <c r="U25" s="25">
        <f>'Asset Returns'!U25-'Risk Factors'!$J25</f>
        <v>1.2215E-2</v>
      </c>
      <c r="V25" s="25">
        <f>'Asset Returns'!V25-'Risk Factors'!$J25</f>
        <v>-4.1849900000000002E-2</v>
      </c>
      <c r="W25" s="25">
        <f>'Asset Returns'!W25-'Risk Factors'!$J25</f>
        <v>-7.2233000000000002E-3</v>
      </c>
      <c r="X25" s="25">
        <f>'Asset Returns'!X25-'Risk Factors'!$J25</f>
        <v>-1.5255959741492298E-2</v>
      </c>
      <c r="Y25" s="25">
        <f>'Asset Returns'!Y25-'Risk Factors'!$J25</f>
        <v>5.1000000000000004E-3</v>
      </c>
      <c r="Z25" s="25">
        <f>'Asset Returns'!Z25-'Risk Factors'!$J25</f>
        <v>-0.11059200000000001</v>
      </c>
      <c r="AA25" s="25">
        <f>'Asset Returns'!AA25-'Risk Factors'!$J25</f>
        <v>-8.8900000000000003E-4</v>
      </c>
      <c r="AB25" s="25">
        <f>'Asset Returns'!AB25-'Risk Factors'!$J25</f>
        <v>-1.9692790000000002E-2</v>
      </c>
      <c r="AC25" s="25">
        <f>'Asset Returns'!AC25-'Risk Factors'!$J25</f>
        <v>2.6473300000000002E-2</v>
      </c>
    </row>
    <row r="26" spans="2:29">
      <c r="B26" s="123"/>
      <c r="E26" s="421">
        <f>'Asset Returns'!E26</f>
        <v>40939</v>
      </c>
      <c r="F26" s="25">
        <f>'Asset Returns'!F26-'Risk Factors'!$J26</f>
        <v>0.13668829202651978</v>
      </c>
      <c r="G26" s="25">
        <f>'Asset Returns'!G26-'Risk Factors'!$J26</f>
        <v>4.2283028364181519E-2</v>
      </c>
      <c r="H26" s="25">
        <f>'Asset Returns'!H26-'Risk Factors'!$J26</f>
        <v>3.8239728659391403E-2</v>
      </c>
      <c r="I26" s="25">
        <f>'Asset Returns'!I26-'Risk Factors'!$J26</f>
        <v>0.46498546004295349</v>
      </c>
      <c r="J26" s="25">
        <f>'Asset Returns'!J26-'Risk Factors'!$J26</f>
        <v>0.10543514043092728</v>
      </c>
      <c r="K26" s="25">
        <f>'Asset Returns'!K26-'Risk Factors'!$J26</f>
        <v>-4.3007098138332367E-2</v>
      </c>
      <c r="L26" s="25">
        <f>'Asset Returns'!L26-'Risk Factors'!$J26</f>
        <v>9.480014443397522E-2</v>
      </c>
      <c r="M26" s="25">
        <f>'Asset Returns'!M26-'Risk Factors'!$J26</f>
        <v>4.7422237694263458E-2</v>
      </c>
      <c r="N26" s="25">
        <f>'Asset Returns'!N26-'Risk Factors'!$J26</f>
        <v>5.032021552324295E-3</v>
      </c>
      <c r="O26" s="25"/>
      <c r="P26" s="421">
        <f>'Asset Returns'!P26</f>
        <v>40939</v>
      </c>
      <c r="Q26" s="25">
        <f>'Asset Returns'!Q26-'Risk Factors'!$J26</f>
        <v>-8.0895349730880639E-5</v>
      </c>
      <c r="R26" s="25">
        <f>'Asset Returns'!R26-'Risk Factors'!$J26</f>
        <v>-1.9387259210240648E-3</v>
      </c>
      <c r="S26" s="260"/>
      <c r="T26" s="421">
        <f>'Asset Returns'!T26</f>
        <v>40939</v>
      </c>
      <c r="U26" s="25">
        <f>'Asset Returns'!U26-'Risk Factors'!$J26</f>
        <v>4.383451E-2</v>
      </c>
      <c r="V26" s="25">
        <f>'Asset Returns'!V26-'Risk Factors'!$J26</f>
        <v>7.9824300000000001E-2</v>
      </c>
      <c r="W26" s="25">
        <f>'Asset Returns'!W26-'Risk Factors'!$J26</f>
        <v>6.2692070000000003E-2</v>
      </c>
      <c r="X26" s="25">
        <f>'Asset Returns'!X26-'Risk Factors'!$J26</f>
        <v>4.2730821415620346E-2</v>
      </c>
      <c r="Y26" s="25">
        <f>'Asset Returns'!Y26-'Risk Factors'!$J26</f>
        <v>-4.4106199999999998E-2</v>
      </c>
      <c r="Z26" s="25">
        <f>'Asset Returns'!Z26-'Risk Factors'!$J26</f>
        <v>0.12215479999999999</v>
      </c>
      <c r="AA26" s="25">
        <f>'Asset Returns'!AA26-'Risk Factors'!$J26</f>
        <v>4.9534599999999998E-2</v>
      </c>
      <c r="AB26" s="25">
        <f>'Asset Returns'!AB26-'Risk Factors'!$J26</f>
        <v>5.378877E-2</v>
      </c>
      <c r="AC26" s="25">
        <f>'Asset Returns'!AC26-'Risk Factors'!$J26</f>
        <v>7.03072E-2</v>
      </c>
    </row>
    <row r="27" spans="2:29">
      <c r="B27" s="123"/>
      <c r="E27" s="421">
        <f>'Asset Returns'!E27</f>
        <v>40968</v>
      </c>
      <c r="F27" s="25">
        <f>'Asset Returns'!F27-'Risk Factors'!$J27</f>
        <v>9.5972597599029541E-2</v>
      </c>
      <c r="G27" s="25">
        <f>'Asset Returns'!G27-'Risk Factors'!$J27</f>
        <v>-8.4963560104370117E-2</v>
      </c>
      <c r="H27" s="25">
        <f>'Asset Returns'!H27-'Risk Factors'!$J27</f>
        <v>6.9683186709880829E-2</v>
      </c>
      <c r="I27" s="25">
        <f>'Asset Returns'!I27-'Risk Factors'!$J27</f>
        <v>0.12145635485649109</v>
      </c>
      <c r="J27" s="25">
        <f>'Asset Returns'!J27-'Risk Factors'!$J27</f>
        <v>0.12476598471403122</v>
      </c>
      <c r="K27" s="25">
        <f>'Asset Returns'!K27-'Risk Factors'!$J27</f>
        <v>4.2057976126670837E-2</v>
      </c>
      <c r="L27" s="25">
        <f>'Asset Returns'!L27-'Risk Factors'!$J27</f>
        <v>6.2681742012500763E-2</v>
      </c>
      <c r="M27" s="25">
        <f>'Asset Returns'!M27-'Risk Factors'!$J27</f>
        <v>2.5413770228624344E-2</v>
      </c>
      <c r="N27" s="25">
        <f>'Asset Returns'!N27-'Risk Factors'!$J27</f>
        <v>-3.8615907542407513E-3</v>
      </c>
      <c r="O27" s="25"/>
      <c r="P27" s="421">
        <f>'Asset Returns'!P27</f>
        <v>40968</v>
      </c>
      <c r="Q27" s="25">
        <f>'Asset Returns'!Q27-'Risk Factors'!$J27</f>
        <v>-9.1500042473494636E-3</v>
      </c>
      <c r="R27" s="25">
        <f>'Asset Returns'!R27-'Risk Factors'!$J27</f>
        <v>-1.9057140341153245E-2</v>
      </c>
      <c r="S27" s="260"/>
      <c r="T27" s="421">
        <f>'Asset Returns'!T27</f>
        <v>40968</v>
      </c>
      <c r="U27" s="25">
        <f>'Asset Returns'!U27-'Risk Factors'!$J27</f>
        <v>6.8243140000000008E-2</v>
      </c>
      <c r="V27" s="25">
        <f>'Asset Returns'!V27-'Risk Factors'!$J27</f>
        <v>2.1457500000000001E-2</v>
      </c>
      <c r="W27" s="25">
        <f>'Asset Returns'!W27-'Risk Factors'!$J27</f>
        <v>3.1973080000000001E-2</v>
      </c>
      <c r="X27" s="25">
        <f>'Asset Returns'!X27-'Risk Factors'!$J27</f>
        <v>4.6261942954022528E-2</v>
      </c>
      <c r="Y27" s="25">
        <f>'Asset Returns'!Y27-'Risk Factors'!$J27</f>
        <v>-0.11841570000000001</v>
      </c>
      <c r="Z27" s="25">
        <f>'Asset Returns'!Z27-'Risk Factors'!$J27</f>
        <v>-6.0851999999999998E-3</v>
      </c>
      <c r="AA27" s="25">
        <f>'Asset Returns'!AA27-'Risk Factors'!$J27</f>
        <v>4.8231500000000004E-2</v>
      </c>
      <c r="AB27" s="25">
        <f>'Asset Returns'!AB27-'Risk Factors'!$J27</f>
        <v>4.8081659999999998E-2</v>
      </c>
      <c r="AC27" s="25">
        <f>'Asset Returns'!AC27-'Risk Factors'!$J27</f>
        <v>5.4269299999999993E-2</v>
      </c>
    </row>
    <row r="28" spans="2:29">
      <c r="B28" s="123"/>
      <c r="E28" s="421">
        <f>'Asset Returns'!E28</f>
        <v>40999</v>
      </c>
      <c r="F28" s="25">
        <f>'Asset Returns'!F28-'Risk Factors'!$J28</f>
        <v>-7.3234237730503082E-2</v>
      </c>
      <c r="G28" s="25">
        <f>'Asset Returns'!G28-'Risk Factors'!$J28</f>
        <v>-1.9020471721887589E-2</v>
      </c>
      <c r="H28" s="25">
        <f>'Asset Returns'!H28-'Risk Factors'!$J28</f>
        <v>-6.0441341251134872E-2</v>
      </c>
      <c r="I28" s="25">
        <f>'Asset Returns'!I28-'Risk Factors'!$J28</f>
        <v>-2.2715561091899872E-2</v>
      </c>
      <c r="J28" s="25">
        <f>'Asset Returns'!J28-'Risk Factors'!$J28</f>
        <v>5.5196631699800491E-2</v>
      </c>
      <c r="K28" s="25">
        <f>'Asset Returns'!K28-'Risk Factors'!$J28</f>
        <v>-3.9556693285703659E-2</v>
      </c>
      <c r="L28" s="25">
        <f>'Asset Returns'!L28-'Risk Factors'!$J28</f>
        <v>4.3174218386411667E-2</v>
      </c>
      <c r="M28" s="25">
        <f>'Asset Returns'!M28-'Risk Factors'!$J28</f>
        <v>6.0590658336877823E-2</v>
      </c>
      <c r="N28" s="25">
        <f>'Asset Returns'!N28-'Risk Factors'!$J28</f>
        <v>1.3521819375455379E-2</v>
      </c>
      <c r="O28" s="25"/>
      <c r="P28" s="421">
        <f>'Asset Returns'!P28</f>
        <v>40999</v>
      </c>
      <c r="Q28" s="25">
        <f>'Asset Returns'!Q28-'Risk Factors'!$J28</f>
        <v>-2.0326514282448249E-2</v>
      </c>
      <c r="R28" s="25">
        <f>'Asset Returns'!R28-'Risk Factors'!$J28</f>
        <v>-1.2779080328665371E-2</v>
      </c>
      <c r="S28" s="260"/>
      <c r="T28" s="421">
        <f>'Asset Returns'!T28</f>
        <v>40999</v>
      </c>
      <c r="U28" s="25">
        <f>'Asset Returns'!U28-'Risk Factors'!$J28</f>
        <v>-1.0393110000000001E-2</v>
      </c>
      <c r="V28" s="25">
        <f>'Asset Returns'!V28-'Risk Factors'!$J28</f>
        <v>-4.8211000000000004E-2</v>
      </c>
      <c r="W28" s="25">
        <f>'Asset Returns'!W28-'Risk Factors'!$J28</f>
        <v>1.482282E-2</v>
      </c>
      <c r="X28" s="25">
        <f>'Asset Returns'!X28-'Risk Factors'!$J28</f>
        <v>2.0562304357451211E-2</v>
      </c>
      <c r="Y28" s="25">
        <f>'Asset Returns'!Y28-'Risk Factors'!$J28</f>
        <v>6.1139400000000003E-2</v>
      </c>
      <c r="Z28" s="25">
        <f>'Asset Returns'!Z28-'Risk Factors'!$J28</f>
        <v>-9.795920000000001E-2</v>
      </c>
      <c r="AA28" s="25">
        <f>'Asset Returns'!AA28-'Risk Factors'!$J28</f>
        <v>1.28506E-2</v>
      </c>
      <c r="AB28" s="25">
        <f>'Asset Returns'!AB28-'Risk Factors'!$J28</f>
        <v>3.1940650000000001E-2</v>
      </c>
      <c r="AC28" s="25">
        <f>'Asset Returns'!AC28-'Risk Factors'!$J28</f>
        <v>4.1140800000000005E-2</v>
      </c>
    </row>
    <row r="29" spans="2:29">
      <c r="B29" s="123"/>
      <c r="E29" s="421">
        <f>'Asset Returns'!E29</f>
        <v>41029</v>
      </c>
      <c r="F29" s="25">
        <f>'Asset Returns'!F29-'Risk Factors'!$J29</f>
        <v>-6.3835777342319489E-2</v>
      </c>
      <c r="G29" s="25">
        <f>'Asset Returns'!G29-'Risk Factors'!$J29</f>
        <v>-0.12880215048789978</v>
      </c>
      <c r="H29" s="25">
        <f>'Asset Returns'!H29-'Risk Factors'!$J29</f>
        <v>-2.2225718945264816E-2</v>
      </c>
      <c r="I29" s="25">
        <f>'Asset Returns'!I29-'Risk Factors'!$J29</f>
        <v>0.11174681037664413</v>
      </c>
      <c r="J29" s="25">
        <f>'Asset Returns'!J29-'Risk Factors'!$J29</f>
        <v>-4.5819956809282303E-2</v>
      </c>
      <c r="K29" s="25">
        <f>'Asset Returns'!K29-'Risk Factors'!$J29</f>
        <v>-1.9192254170775414E-2</v>
      </c>
      <c r="L29" s="25">
        <f>'Asset Returns'!L29-'Risk Factors'!$J29</f>
        <v>-2.2150976583361626E-2</v>
      </c>
      <c r="M29" s="25">
        <f>'Asset Returns'!M29-'Risk Factors'!$J29</f>
        <v>-7.5245685875415802E-3</v>
      </c>
      <c r="N29" s="25">
        <f>'Asset Returns'!N29-'Risk Factors'!$J29</f>
        <v>-1.3038204982876778E-2</v>
      </c>
      <c r="O29" s="25"/>
      <c r="P29" s="421">
        <f>'Asset Returns'!P29</f>
        <v>41029</v>
      </c>
      <c r="Q29" s="25">
        <f>'Asset Returns'!Q29-'Risk Factors'!$J29</f>
        <v>2.329855149767468E-2</v>
      </c>
      <c r="R29" s="25">
        <f>'Asset Returns'!R29-'Risk Factors'!$J29</f>
        <v>2.8044631777140561E-2</v>
      </c>
      <c r="S29" s="260"/>
      <c r="T29" s="421">
        <f>'Asset Returns'!T29</f>
        <v>41029</v>
      </c>
      <c r="U29" s="25">
        <f>'Asset Returns'!U29-'Risk Factors'!$J29</f>
        <v>-1.8912990000000001E-2</v>
      </c>
      <c r="V29" s="25">
        <f>'Asset Returns'!V29-'Risk Factors'!$J29</f>
        <v>-6.3106400000000007E-2</v>
      </c>
      <c r="W29" s="25">
        <f>'Asset Returns'!W29-'Risk Factors'!$J29</f>
        <v>7.23911E-3</v>
      </c>
      <c r="X29" s="25">
        <f>'Asset Returns'!X29-'Risk Factors'!$J29</f>
        <v>-1.517632082875775E-2</v>
      </c>
      <c r="Y29" s="25">
        <f>'Asset Returns'!Y29-'Risk Factors'!$J29</f>
        <v>1.61502E-2</v>
      </c>
      <c r="Z29" s="25">
        <f>'Asset Returns'!Z29-'Risk Factors'!$J29</f>
        <v>-5.80694E-2</v>
      </c>
      <c r="AA29" s="25">
        <f>'Asset Returns'!AA29-'Risk Factors'!$J29</f>
        <v>-1.18896E-2</v>
      </c>
      <c r="AB29" s="25">
        <f>'Asset Returns'!AB29-'Risk Factors'!$J29</f>
        <v>-1.99188E-2</v>
      </c>
      <c r="AC29" s="25">
        <f>'Asset Returns'!AC29-'Risk Factors'!$J29</f>
        <v>-9.5400000000000001E-5</v>
      </c>
    </row>
    <row r="30" spans="2:29">
      <c r="B30" s="123"/>
      <c r="E30" s="421">
        <f>'Asset Returns'!E30</f>
        <v>41060</v>
      </c>
      <c r="F30" s="25">
        <f>'Asset Returns'!F30-'Risk Factors'!$J30</f>
        <v>-0.19500325450897216</v>
      </c>
      <c r="G30" s="25">
        <f>'Asset Returns'!G30-'Risk Factors'!$J30</f>
        <v>-0.30681167373657225</v>
      </c>
      <c r="H30" s="25">
        <f>'Asset Returns'!H30-'Risk Factors'!$J30</f>
        <v>-0.14835321733951568</v>
      </c>
      <c r="I30" s="25">
        <f>'Asset Returns'!I30-'Risk Factors'!$J30</f>
        <v>-0.30945710668563842</v>
      </c>
      <c r="J30" s="25">
        <f>'Asset Returns'!J30-'Risk Factors'!$J30</f>
        <v>-6.3605865633487704E-2</v>
      </c>
      <c r="K30" s="25">
        <f>'Asset Returns'!K30-'Risk Factors'!$J30</f>
        <v>-6.2573095953464511E-2</v>
      </c>
      <c r="L30" s="25">
        <f>'Asset Returns'!L30-'Risk Factors'!$J30</f>
        <v>-7.4715649878978732E-2</v>
      </c>
      <c r="M30" s="25">
        <f>'Asset Returns'!M30-'Risk Factors'!$J30</f>
        <v>-6.4746050333976748E-2</v>
      </c>
      <c r="N30" s="25">
        <f>'Asset Returns'!N30-'Risk Factors'!$J30</f>
        <v>-3.1943122094869617E-2</v>
      </c>
      <c r="O30" s="25"/>
      <c r="P30" s="421">
        <f>'Asset Returns'!P30</f>
        <v>41060</v>
      </c>
      <c r="Q30" s="25">
        <f>'Asset Returns'!Q30-'Risk Factors'!$J30</f>
        <v>4.5224417766520184E-2</v>
      </c>
      <c r="R30" s="25">
        <f>'Asset Returns'!R30-'Risk Factors'!$J30</f>
        <v>9.0594346887276064E-2</v>
      </c>
      <c r="S30" s="260"/>
      <c r="T30" s="421">
        <f>'Asset Returns'!T30</f>
        <v>41060</v>
      </c>
      <c r="U30" s="25">
        <f>'Asset Returns'!U30-'Risk Factors'!$J30</f>
        <v>-0.11971406000000001</v>
      </c>
      <c r="V30" s="25">
        <f>'Asset Returns'!V30-'Risk Factors'!$J30</f>
        <v>-0.16895109999999999</v>
      </c>
      <c r="W30" s="25">
        <f>'Asset Returns'!W30-'Risk Factors'!$J30</f>
        <v>-7.348942E-2</v>
      </c>
      <c r="X30" s="25">
        <f>'Asset Returns'!X30-'Risk Factors'!$J30</f>
        <v>-7.7992303157132695E-2</v>
      </c>
      <c r="Y30" s="25">
        <f>'Asset Returns'!Y30-'Risk Factors'!$J30</f>
        <v>0.23744300000000002</v>
      </c>
      <c r="Z30" s="25">
        <f>'Asset Returns'!Z30-'Risk Factors'!$J30</f>
        <v>-0.12900309999999998</v>
      </c>
      <c r="AA30" s="25">
        <f>'Asset Returns'!AA30-'Risk Factors'!$J30</f>
        <v>-8.5739200000000002E-2</v>
      </c>
      <c r="AB30" s="25">
        <f>'Asset Returns'!AB30-'Risk Factors'!$J30</f>
        <v>-8.7114220000000006E-2</v>
      </c>
      <c r="AC30" s="25">
        <f>'Asset Returns'!AC30-'Risk Factors'!$J30</f>
        <v>-0.1159839</v>
      </c>
    </row>
    <row r="31" spans="2:29">
      <c r="B31" s="123"/>
      <c r="E31" s="421">
        <f>'Asset Returns'!E31</f>
        <v>41090</v>
      </c>
      <c r="F31" s="25">
        <f>'Asset Returns'!F31-'Risk Factors'!$J31</f>
        <v>7.9276256263256073E-2</v>
      </c>
      <c r="G31" s="25">
        <f>'Asset Returns'!G31-'Risk Factors'!$J31</f>
        <v>-9.5763593912124634E-2</v>
      </c>
      <c r="H31" s="25">
        <f>'Asset Returns'!H31-'Risk Factors'!$J31</f>
        <v>8.8843688368797302E-2</v>
      </c>
      <c r="I31" s="25">
        <f>'Asset Returns'!I31-'Risk Factors'!$J31</f>
        <v>4.6568471938371658E-2</v>
      </c>
      <c r="J31" s="25">
        <f>'Asset Returns'!J31-'Risk Factors'!$J31</f>
        <v>3.1259678304195404E-2</v>
      </c>
      <c r="K31" s="25">
        <f>'Asset Returns'!K31-'Risk Factors'!$J31</f>
        <v>0.11752405762672424</v>
      </c>
      <c r="L31" s="25">
        <f>'Asset Returns'!L31-'Risk Factors'!$J31</f>
        <v>4.2512077838182449E-2</v>
      </c>
      <c r="M31" s="25">
        <f>'Asset Returns'!M31-'Risk Factors'!$J31</f>
        <v>1.3893205672502518E-2</v>
      </c>
      <c r="N31" s="25">
        <f>'Asset Returns'!N31-'Risk Factors'!$J31</f>
        <v>8.2172036170959473E-2</v>
      </c>
      <c r="O31" s="25"/>
      <c r="P31" s="421">
        <f>'Asset Returns'!P31</f>
        <v>41090</v>
      </c>
      <c r="Q31" s="25">
        <f>'Asset Returns'!Q31-'Risk Factors'!$J31</f>
        <v>-9.6223893912181779E-3</v>
      </c>
      <c r="R31" s="25">
        <f>'Asset Returns'!R31-'Risk Factors'!$J31</f>
        <v>-2.170055241239166E-2</v>
      </c>
      <c r="S31" s="260"/>
      <c r="T31" s="421">
        <f>'Asset Returns'!T31</f>
        <v>41090</v>
      </c>
      <c r="U31" s="25">
        <f>'Asset Returns'!U31-'Risk Factors'!$J31</f>
        <v>3.4340660000000002E-2</v>
      </c>
      <c r="V31" s="25">
        <f>'Asset Returns'!V31-'Risk Factors'!$J31</f>
        <v>4.0331099999999995E-2</v>
      </c>
      <c r="W31" s="25">
        <f>'Asset Returns'!W31-'Risk Factors'!$J31</f>
        <v>3.2470199999999998E-2</v>
      </c>
      <c r="X31" s="25">
        <f>'Asset Returns'!X31-'Risk Factors'!$J31</f>
        <v>5.8054845369585051E-2</v>
      </c>
      <c r="Y31" s="25">
        <f>'Asset Returns'!Y31-'Risk Factors'!$J31</f>
        <v>-0.11905590000000001</v>
      </c>
      <c r="Z31" s="25">
        <f>'Asset Returns'!Z31-'Risk Factors'!$J31</f>
        <v>-9.1912000000000001E-3</v>
      </c>
      <c r="AA31" s="25">
        <f>'Asset Returns'!AA31-'Risk Factors'!$J31</f>
        <v>5.1052400000000005E-2</v>
      </c>
      <c r="AB31" s="25">
        <f>'Asset Returns'!AB31-'Risk Factors'!$J31</f>
        <v>3.8080860000000001E-2</v>
      </c>
      <c r="AC31" s="25">
        <f>'Asset Returns'!AC31-'Risk Factors'!$J31</f>
        <v>7.8600700000000009E-2</v>
      </c>
    </row>
    <row r="32" spans="2:29">
      <c r="E32" s="421">
        <f>'Asset Returns'!E32</f>
        <v>41121</v>
      </c>
      <c r="F32" s="25">
        <f>'Asset Returns'!F32-'Risk Factors'!$J32</f>
        <v>-1.1579709127545357E-2</v>
      </c>
      <c r="G32" s="25">
        <f>'Asset Returns'!G32-'Risk Factors'!$J32</f>
        <v>-0.13391780853271484</v>
      </c>
      <c r="H32" s="25">
        <f>'Asset Returns'!H32-'Risk Factors'!$J32</f>
        <v>6.2893559224903584E-3</v>
      </c>
      <c r="I32" s="25">
        <f>'Asset Returns'!I32-'Risk Factors'!$J32</f>
        <v>-4.621577262878418E-2</v>
      </c>
      <c r="J32" s="25">
        <f>'Asset Returns'!J32-'Risk Factors'!$J32</f>
        <v>-3.2811865210533142E-2</v>
      </c>
      <c r="K32" s="25">
        <f>'Asset Returns'!K32-'Risk Factors'!$J32</f>
        <v>0.11443383246660233</v>
      </c>
      <c r="L32" s="25">
        <f>'Asset Returns'!L32-'Risk Factors'!$J32</f>
        <v>-4.6030275523662567E-2</v>
      </c>
      <c r="M32" s="25">
        <f>'Asset Returns'!M32-'Risk Factors'!$J32</f>
        <v>2.0452027674764395E-3</v>
      </c>
      <c r="N32" s="25">
        <f>'Asset Returns'!N32-'Risk Factors'!$J32</f>
        <v>2.4570751935243607E-2</v>
      </c>
      <c r="O32" s="25"/>
      <c r="P32" s="421">
        <f>'Asset Returns'!P32</f>
        <v>41121</v>
      </c>
      <c r="Q32" s="25">
        <f>'Asset Returns'!Q32-'Risk Factors'!$J32</f>
        <v>2.1296263516676239E-2</v>
      </c>
      <c r="R32" s="25">
        <f>'Asset Returns'!R32-'Risk Factors'!$J32</f>
        <v>2.7180034816191023E-2</v>
      </c>
      <c r="S32" s="260"/>
      <c r="T32" s="421">
        <f>'Asset Returns'!T32</f>
        <v>41121</v>
      </c>
      <c r="U32" s="25">
        <f>'Asset Returns'!U32-'Risk Factors'!$J32</f>
        <v>3.6777480000000001E-2</v>
      </c>
      <c r="V32" s="25">
        <f>'Asset Returns'!V32-'Risk Factors'!$J32</f>
        <v>-0.1199698</v>
      </c>
      <c r="W32" s="25">
        <f>'Asset Returns'!W32-'Risk Factors'!$J32</f>
        <v>2.0830999999999999E-4</v>
      </c>
      <c r="X32" s="25">
        <f>'Asset Returns'!X32-'Risk Factors'!$J32</f>
        <v>6.5608148403706323E-3</v>
      </c>
      <c r="Y32" s="25">
        <f>'Asset Returns'!Y32-'Risk Factors'!$J32</f>
        <v>-8.8652499999999995E-2</v>
      </c>
      <c r="Z32" s="25">
        <f>'Asset Returns'!Z32-'Risk Factors'!$J32</f>
        <v>0</v>
      </c>
      <c r="AA32" s="25">
        <f>'Asset Returns'!AA32-'Risk Factors'!$J32</f>
        <v>1.2719299999999999E-2</v>
      </c>
      <c r="AB32" s="25">
        <f>'Asset Returns'!AB32-'Risk Factors'!$J32</f>
        <v>-1.31298E-3</v>
      </c>
      <c r="AC32" s="25">
        <f>'Asset Returns'!AC32-'Risk Factors'!$J32</f>
        <v>1.8718699999999998E-2</v>
      </c>
    </row>
    <row r="33" spans="5:29">
      <c r="E33" s="421">
        <f>'Asset Returns'!E33</f>
        <v>41152</v>
      </c>
      <c r="F33" s="25">
        <f>'Asset Returns'!F33-'Risk Factors'!$J33</f>
        <v>3.9142543280124661E-2</v>
      </c>
      <c r="G33" s="25">
        <f>'Asset Returns'!G33-'Risk Factors'!$J33</f>
        <v>0.45530404319763185</v>
      </c>
      <c r="H33" s="25">
        <f>'Asset Returns'!H33-'Risk Factors'!$J33</f>
        <v>6.4142057502269742E-2</v>
      </c>
      <c r="I33" s="25">
        <f>'Asset Returns'!I33-'Risk Factors'!$J33</f>
        <v>3.51940559387207E-2</v>
      </c>
      <c r="J33" s="25">
        <f>'Asset Returns'!J33-'Risk Factors'!$J33</f>
        <v>2.2020842710137368E-2</v>
      </c>
      <c r="K33" s="25">
        <f>'Asset Returns'!K33-'Risk Factors'!$J33</f>
        <v>4.6192584389448163E-2</v>
      </c>
      <c r="L33" s="25">
        <f>'Asset Returns'!L33-'Risk Factors'!$J33</f>
        <v>1.2429534287750722E-2</v>
      </c>
      <c r="M33" s="25">
        <f>'Asset Returns'!M33-'Risk Factors'!$J33</f>
        <v>-1.7198117518797517E-3</v>
      </c>
      <c r="N33" s="25">
        <f>'Asset Returns'!N33-'Risk Factors'!$J33</f>
        <v>-1.7269257625937461E-2</v>
      </c>
      <c r="O33" s="25"/>
      <c r="P33" s="421">
        <f>'Asset Returns'!P33</f>
        <v>41152</v>
      </c>
      <c r="Q33" s="25">
        <f>'Asset Returns'!Q33-'Risk Factors'!$J33</f>
        <v>-5.6385018314030312E-3</v>
      </c>
      <c r="R33" s="25">
        <f>'Asset Returns'!R33-'Risk Factors'!$J33</f>
        <v>-8.6401920712457884E-3</v>
      </c>
      <c r="S33" s="260"/>
      <c r="T33" s="421">
        <f>'Asset Returns'!T33</f>
        <v>41152</v>
      </c>
      <c r="U33" s="25">
        <f>'Asset Returns'!U33-'Risk Factors'!$J33</f>
        <v>3.3986839999999997E-2</v>
      </c>
      <c r="V33" s="25">
        <f>'Asset Returns'!V33-'Risk Factors'!$J33</f>
        <v>5.1639999999999998E-2</v>
      </c>
      <c r="W33" s="25">
        <f>'Asset Returns'!W33-'Risk Factors'!$J33</f>
        <v>3.3161280000000001E-2</v>
      </c>
      <c r="X33" s="25">
        <f>'Asset Returns'!X33-'Risk Factors'!$J33</f>
        <v>4.0856724613292469E-2</v>
      </c>
      <c r="Y33" s="25">
        <f>'Asset Returns'!Y33-'Risk Factors'!$J33</f>
        <v>-5.3710000000000001E-2</v>
      </c>
      <c r="Z33" s="25">
        <f>'Asset Returns'!Z33-'Risk Factors'!$J33</f>
        <v>8.8953799999999986E-2</v>
      </c>
      <c r="AA33" s="25">
        <f>'Asset Returns'!AA33-'Risk Factors'!$J33</f>
        <v>2.49727E-2</v>
      </c>
      <c r="AB33" s="25">
        <f>'Asset Returns'!AB33-'Risk Factors'!$J33</f>
        <v>4.130677E-2</v>
      </c>
      <c r="AC33" s="25">
        <f>'Asset Returns'!AC33-'Risk Factors'!$J33</f>
        <v>1.8864300000000001E-2</v>
      </c>
    </row>
    <row r="34" spans="5:29">
      <c r="E34" s="421">
        <f>'Asset Returns'!E34</f>
        <v>41182</v>
      </c>
      <c r="F34" s="25">
        <f>'Asset Returns'!F34-'Risk Factors'!$J34</f>
        <v>3.7989778274297711E-2</v>
      </c>
      <c r="G34" s="25">
        <f>'Asset Returns'!G34-'Risk Factors'!$J34</f>
        <v>1.9973685795068741E-2</v>
      </c>
      <c r="H34" s="25">
        <f>'Asset Returns'!H34-'Risk Factors'!$J34</f>
        <v>5.276668646931648E-3</v>
      </c>
      <c r="I34" s="25">
        <f>'Asset Returns'!I34-'Risk Factors'!$J34</f>
        <v>0.20406429638862611</v>
      </c>
      <c r="J34" s="25">
        <f>'Asset Returns'!J34-'Risk Factors'!$J34</f>
        <v>-2.0905744120478628E-3</v>
      </c>
      <c r="K34" s="25">
        <f>'Asset Returns'!K34-'Risk Factors'!$J34</f>
        <v>1.3456352816522122E-2</v>
      </c>
      <c r="L34" s="25">
        <f>'Asset Returns'!L34-'Risk Factors'!$J34</f>
        <v>3.7056153470277783E-2</v>
      </c>
      <c r="M34" s="25">
        <f>'Asset Returns'!M34-'Risk Factors'!$J34</f>
        <v>6.4465129578113553E-2</v>
      </c>
      <c r="N34" s="25">
        <f>'Asset Returns'!N34-'Risk Factors'!$J34</f>
        <v>2.1748687902092934E-2</v>
      </c>
      <c r="O34" s="25"/>
      <c r="P34" s="421">
        <f>'Asset Returns'!P34</f>
        <v>41182</v>
      </c>
      <c r="Q34" s="25">
        <f>'Asset Returns'!Q34-'Risk Factors'!$J34</f>
        <v>2.7103823407526696E-2</v>
      </c>
      <c r="R34" s="25">
        <f>'Asset Returns'!R34-'Risk Factors'!$J34</f>
        <v>-2.1363861490433466E-2</v>
      </c>
      <c r="S34" s="260"/>
      <c r="T34" s="421">
        <f>'Asset Returns'!T34</f>
        <v>41182</v>
      </c>
      <c r="U34" s="25">
        <f>'Asset Returns'!U34-'Risk Factors'!$J34</f>
        <v>5.4113219999999997E-2</v>
      </c>
      <c r="V34" s="25">
        <f>'Asset Returns'!V34-'Risk Factors'!$J34</f>
        <v>2.2988000000000001E-2</v>
      </c>
      <c r="W34" s="25">
        <f>'Asset Returns'!W34-'Risk Factors'!$J34</f>
        <v>2.460215E-2</v>
      </c>
      <c r="X34" s="25">
        <f>'Asset Returns'!X34-'Risk Factors'!$J34</f>
        <v>1.3951092159833579E-2</v>
      </c>
      <c r="Y34" s="25">
        <f>'Asset Returns'!Y34-'Risk Factors'!$J34</f>
        <v>-6.9994899999999999E-2</v>
      </c>
      <c r="Z34" s="25">
        <f>'Asset Returns'!Z34-'Risk Factors'!$J34</f>
        <v>0.13788980000000001</v>
      </c>
      <c r="AA34" s="25">
        <f>'Asset Returns'!AA34-'Risk Factors'!$J34</f>
        <v>2.69591E-2</v>
      </c>
      <c r="AB34" s="25">
        <f>'Asset Returns'!AB34-'Risk Factors'!$J34</f>
        <v>3.1530839999999997E-2</v>
      </c>
      <c r="AC34" s="25">
        <f>'Asset Returns'!AC34-'Risk Factors'!$J34</f>
        <v>5.2551899999999992E-2</v>
      </c>
    </row>
    <row r="35" spans="5:29">
      <c r="E35" s="421">
        <f>'Asset Returns'!E35</f>
        <v>41213</v>
      </c>
      <c r="F35" s="25">
        <f>'Asset Returns'!F35-'Risk Factors'!$J35</f>
        <v>-8.6085586047172549E-2</v>
      </c>
      <c r="G35" s="25">
        <f>'Asset Returns'!G35-'Risk Factors'!$J35</f>
        <v>-0.18666913936138152</v>
      </c>
      <c r="H35" s="25">
        <f>'Asset Returns'!H35-'Risk Factors'!$J35</f>
        <v>1.3022405856847764E-2</v>
      </c>
      <c r="I35" s="25">
        <f>'Asset Returns'!I35-'Risk Factors'!$J35</f>
        <v>-6.6626353359222415E-2</v>
      </c>
      <c r="J35" s="25">
        <f>'Asset Returns'!J35-'Risk Factors'!$J35</f>
        <v>-1.8844880333542823E-2</v>
      </c>
      <c r="K35" s="25">
        <f>'Asset Returns'!K35-'Risk Factors'!$J35</f>
        <v>6.9999845528602597E-2</v>
      </c>
      <c r="L35" s="25">
        <f>'Asset Returns'!L35-'Risk Factors'!$J35</f>
        <v>4.8821119421720502E-2</v>
      </c>
      <c r="M35" s="25">
        <f>'Asset Returns'!M35-'Risk Factors'!$J35</f>
        <v>-6.2480075454711917E-2</v>
      </c>
      <c r="N35" s="25">
        <f>'Asset Returns'!N35-'Risk Factors'!$J35</f>
        <v>2.7517311105132104E-2</v>
      </c>
      <c r="O35" s="25"/>
      <c r="P35" s="421">
        <f>'Asset Returns'!P35</f>
        <v>41213</v>
      </c>
      <c r="Q35" s="25">
        <f>'Asset Returns'!Q35-'Risk Factors'!$J35</f>
        <v>9.406337308603852E-4</v>
      </c>
      <c r="R35" s="25">
        <f>'Asset Returns'!R35-'Risk Factors'!$J35</f>
        <v>-1.4402894169108772E-4</v>
      </c>
      <c r="S35" s="260"/>
      <c r="T35" s="421">
        <f>'Asset Returns'!T35</f>
        <v>41213</v>
      </c>
      <c r="U35" s="25">
        <f>'Asset Returns'!U35-'Risk Factors'!$J35</f>
        <v>1.6953000000000004E-4</v>
      </c>
      <c r="V35" s="25">
        <f>'Asset Returns'!V35-'Risk Factors'!$J35</f>
        <v>-4.7089400000000003E-2</v>
      </c>
      <c r="W35" s="25">
        <f>'Asset Returns'!W35-'Risk Factors'!$J35</f>
        <v>-1.2120599999999999E-2</v>
      </c>
      <c r="X35" s="25">
        <f>'Asset Returns'!X35-'Risk Factors'!$J35</f>
        <v>-2.0775528000132281E-2</v>
      </c>
      <c r="Y35" s="25">
        <f>'Asset Returns'!Y35-'Risk Factors'!$J35</f>
        <v>4.1157400000000004E-2</v>
      </c>
      <c r="Z35" s="25">
        <f>'Asset Returns'!Z35-'Risk Factors'!$J35</f>
        <v>-2.3303600000000001E-2</v>
      </c>
      <c r="AA35" s="25">
        <f>'Asset Returns'!AA35-'Risk Factors'!$J35</f>
        <v>-7.4532000000000001E-3</v>
      </c>
      <c r="AB35" s="25">
        <f>'Asset Returns'!AB35-'Risk Factors'!$J35</f>
        <v>9.1548999999999992E-4</v>
      </c>
      <c r="AC35" s="25">
        <f>'Asset Returns'!AC35-'Risk Factors'!$J35</f>
        <v>-5.0942799999999996E-2</v>
      </c>
    </row>
    <row r="36" spans="5:29">
      <c r="E36" s="421">
        <f>'Asset Returns'!E36</f>
        <v>41243</v>
      </c>
      <c r="F36" s="25">
        <f>'Asset Returns'!F36-'Risk Factors'!$J36</f>
        <v>-2.962740341424942E-2</v>
      </c>
      <c r="G36" s="25">
        <f>'Asset Returns'!G36-'Risk Factors'!$J36</f>
        <v>-0.17122363874912261</v>
      </c>
      <c r="H36" s="25">
        <f>'Asset Returns'!H36-'Risk Factors'!$J36</f>
        <v>-1.9175492396950721E-2</v>
      </c>
      <c r="I36" s="25">
        <f>'Asset Returns'!I36-'Risk Factors'!$J36</f>
        <v>6.1364730650186536E-2</v>
      </c>
      <c r="J36" s="25">
        <f>'Asset Returns'!J36-'Risk Factors'!$J36</f>
        <v>0.1176239790558815</v>
      </c>
      <c r="K36" s="25">
        <f>'Asset Returns'!K36-'Risk Factors'!$J36</f>
        <v>3.3151807093620297E-2</v>
      </c>
      <c r="L36" s="25">
        <f>'Asset Returns'!L36-'Risk Factors'!$J36</f>
        <v>1.6993241214752198E-2</v>
      </c>
      <c r="M36" s="25">
        <f>'Asset Returns'!M36-'Risk Factors'!$J36</f>
        <v>-1.8782464957237243E-2</v>
      </c>
      <c r="N36" s="25">
        <f>'Asset Returns'!N36-'Risk Factors'!$J36</f>
        <v>-6.9566943518817427E-3</v>
      </c>
      <c r="O36" s="25"/>
      <c r="P36" s="421">
        <f>'Asset Returns'!P36</f>
        <v>41243</v>
      </c>
      <c r="Q36" s="25">
        <f>'Asset Returns'!Q36-'Risk Factors'!$J36</f>
        <v>6.6269556570834774E-3</v>
      </c>
      <c r="R36" s="25">
        <f>'Asset Returns'!R36-'Risk Factors'!$J36</f>
        <v>9.7286709523391919E-3</v>
      </c>
      <c r="S36" s="260"/>
      <c r="T36" s="421">
        <f>'Asset Returns'!T36</f>
        <v>41243</v>
      </c>
      <c r="U36" s="25">
        <f>'Asset Returns'!U36-'Risk Factors'!$J36</f>
        <v>2.3029810000000001E-2</v>
      </c>
      <c r="V36" s="25">
        <f>'Asset Returns'!V36-'Risk Factors'!$J36</f>
        <v>2.0606699999999999E-2</v>
      </c>
      <c r="W36" s="25">
        <f>'Asset Returns'!W36-'Risk Factors'!$J36</f>
        <v>2.6164550000000002E-2</v>
      </c>
      <c r="X36" s="25">
        <f>'Asset Returns'!X36-'Risk Factors'!$J36</f>
        <v>3.1300333942729117E-2</v>
      </c>
      <c r="Y36" s="25">
        <f>'Asset Returns'!Y36-'Risk Factors'!$J36</f>
        <v>1.49943E-2</v>
      </c>
      <c r="Z36" s="25">
        <f>'Asset Returns'!Z36-'Risk Factors'!$J36</f>
        <v>-8.6690000000000003E-2</v>
      </c>
      <c r="AA36" s="25">
        <f>'Asset Returns'!AA36-'Risk Factors'!$J36</f>
        <v>1.1765600000000001E-2</v>
      </c>
      <c r="AB36" s="25">
        <f>'Asset Returns'!AB36-'Risk Factors'!$J36</f>
        <v>1.0432950000000002E-2</v>
      </c>
      <c r="AC36" s="25">
        <f>'Asset Returns'!AC36-'Risk Factors'!$J36</f>
        <v>-5.0223000000000004E-3</v>
      </c>
    </row>
    <row r="37" spans="5:29">
      <c r="E37" s="421">
        <f>'Asset Returns'!E37</f>
        <v>41274</v>
      </c>
      <c r="F37" s="25">
        <f>'Asset Returns'!F37-'Risk Factors'!$J37</f>
        <v>4.8567088150978086E-2</v>
      </c>
      <c r="G37" s="25">
        <f>'Asset Returns'!G37-'Risk Factors'!$J37</f>
        <v>0.17277388443946839</v>
      </c>
      <c r="H37" s="25">
        <f>'Asset Returns'!H37-'Risk Factors'!$J37</f>
        <v>-1.9244059756398201E-3</v>
      </c>
      <c r="I37" s="25">
        <f>'Asset Returns'!I37-'Risk Factors'!$J37</f>
        <v>0.13491012325286866</v>
      </c>
      <c r="J37" s="25">
        <f>'Asset Returns'!J37-'Risk Factors'!$J37</f>
        <v>8.0406905913352963E-2</v>
      </c>
      <c r="K37" s="25">
        <f>'Asset Returns'!K37-'Risk Factors'!$J37</f>
        <v>1.5271359884738923E-2</v>
      </c>
      <c r="L37" s="25">
        <f>'Asset Returns'!L37-'Risk Factors'!$J37</f>
        <v>8.8502684438228604E-2</v>
      </c>
      <c r="M37" s="25">
        <f>'Asset Returns'!M37-'Risk Factors'!$J37</f>
        <v>7.5866131275892255E-3</v>
      </c>
      <c r="N37" s="25">
        <f>'Asset Returns'!N37-'Risk Factors'!$J37</f>
        <v>5.1061812020838258E-3</v>
      </c>
      <c r="O37" s="25"/>
      <c r="P37" s="421">
        <f>'Asset Returns'!P37</f>
        <v>41274</v>
      </c>
      <c r="Q37" s="25">
        <f>'Asset Returns'!Q37-'Risk Factors'!$J37</f>
        <v>-6.2507379763174888E-3</v>
      </c>
      <c r="R37" s="25">
        <f>'Asset Returns'!R37-'Risk Factors'!$J37</f>
        <v>-1.9246266429599156E-2</v>
      </c>
      <c r="S37" s="260"/>
      <c r="T37" s="421">
        <f>'Asset Returns'!T37</f>
        <v>41274</v>
      </c>
      <c r="U37" s="25">
        <f>'Asset Returns'!U37-'Risk Factors'!$J37</f>
        <v>2.592125E-2</v>
      </c>
      <c r="V37" s="25">
        <f>'Asset Returns'!V37-'Risk Factors'!$J37</f>
        <v>8.7806200000000001E-2</v>
      </c>
      <c r="W37" s="25">
        <f>'Asset Returns'!W37-'Risk Factors'!$J37</f>
        <v>2.1233970000000001E-2</v>
      </c>
      <c r="X37" s="25">
        <f>'Asset Returns'!X37-'Risk Factors'!$J37</f>
        <v>1.2706381082962171E-2</v>
      </c>
      <c r="Y37" s="25">
        <f>'Asset Returns'!Y37-'Risk Factors'!$J37</f>
        <v>-2.2869499999999997E-2</v>
      </c>
      <c r="Z37" s="25">
        <f>'Asset Returns'!Z37-'Risk Factors'!$J37</f>
        <v>-1.8556399999999997E-2</v>
      </c>
      <c r="AA37" s="25">
        <f>'Asset Returns'!AA37-'Risk Factors'!$J37</f>
        <v>1.8487199999999999E-2</v>
      </c>
      <c r="AB37" s="25">
        <f>'Asset Returns'!AB37-'Risk Factors'!$J37</f>
        <v>7.3240799999999993E-3</v>
      </c>
      <c r="AC37" s="25">
        <f>'Asset Returns'!AC37-'Risk Factors'!$J37</f>
        <v>1.3188100000000001E-2</v>
      </c>
    </row>
    <row r="38" spans="5:29">
      <c r="E38" s="421">
        <f>'Asset Returns'!E38</f>
        <v>41305</v>
      </c>
      <c r="F38" s="25">
        <f>'Asset Returns'!F38-'Risk Factors'!$J38</f>
        <v>6.2696035020053387E-3</v>
      </c>
      <c r="G38" s="25">
        <f>'Asset Returns'!G38-'Risk Factors'!$J38</f>
        <v>7.2205275297164917E-2</v>
      </c>
      <c r="H38" s="25">
        <f>'Asset Returns'!H38-'Risk Factors'!$J38</f>
        <v>7.1681596338748932E-2</v>
      </c>
      <c r="I38" s="25">
        <f>'Asset Returns'!I38-'Risk Factors'!$J38</f>
        <v>-1.8185602501034737E-2</v>
      </c>
      <c r="J38" s="25">
        <f>'Asset Returns'!J38-'Risk Factors'!$J38</f>
        <v>3.2625295221805573E-2</v>
      </c>
      <c r="K38" s="25">
        <f>'Asset Returns'!K38-'Risk Factors'!$J38</f>
        <v>0.1907966285943985</v>
      </c>
      <c r="L38" s="25">
        <f>'Asset Returns'!L38-'Risk Factors'!$J38</f>
        <v>3.9808913134038448E-3</v>
      </c>
      <c r="M38" s="25">
        <f>'Asset Returns'!M38-'Risk Factors'!$J38</f>
        <v>6.0140948742628098E-2</v>
      </c>
      <c r="N38" s="25">
        <f>'Asset Returns'!N38-'Risk Factors'!$J38</f>
        <v>5.4493580013513565E-2</v>
      </c>
      <c r="O38" s="25"/>
      <c r="P38" s="421">
        <f>'Asset Returns'!P38</f>
        <v>41305</v>
      </c>
      <c r="Q38" s="25">
        <f>'Asset Returns'!Q38-'Risk Factors'!$J38</f>
        <v>-7.9543443971374916E-3</v>
      </c>
      <c r="R38" s="25">
        <f>'Asset Returns'!R38-'Risk Factors'!$J38</f>
        <v>-2.73932005986397E-2</v>
      </c>
      <c r="S38" s="260"/>
      <c r="T38" s="421">
        <f>'Asset Returns'!T38</f>
        <v>41305</v>
      </c>
      <c r="U38" s="25">
        <f>'Asset Returns'!U38-'Risk Factors'!$J38</f>
        <v>5.6765429999999999E-2</v>
      </c>
      <c r="V38" s="25">
        <f>'Asset Returns'!V38-'Risk Factors'!$J38</f>
        <v>2.3262999999999999E-2</v>
      </c>
      <c r="W38" s="25">
        <f>'Asset Returns'!W38-'Risk Factors'!$J38</f>
        <v>5.8708159999999995E-2</v>
      </c>
      <c r="X38" s="25">
        <f>'Asset Returns'!X38-'Risk Factors'!$J38</f>
        <v>5.1915759660635441E-2</v>
      </c>
      <c r="Y38" s="25">
        <f>'Asset Returns'!Y38-'Risk Factors'!$J38</f>
        <v>-0.1526391</v>
      </c>
      <c r="Z38" s="25">
        <f>'Asset Returns'!Z38-'Risk Factors'!$J38</f>
        <v>-5.8974399999999996E-2</v>
      </c>
      <c r="AA38" s="25">
        <f>'Asset Returns'!AA38-'Risk Factors'!$J38</f>
        <v>5.1010699999999999E-2</v>
      </c>
      <c r="AB38" s="25">
        <f>'Asset Returns'!AB38-'Risk Factors'!$J38</f>
        <v>6.7401309999999992E-2</v>
      </c>
      <c r="AC38" s="25">
        <f>'Asset Returns'!AC38-'Risk Factors'!$J38</f>
        <v>0.11783289999999999</v>
      </c>
    </row>
    <row r="39" spans="5:29">
      <c r="E39" s="421">
        <f>'Asset Returns'!E39</f>
        <v>41333</v>
      </c>
      <c r="F39" s="25">
        <f>'Asset Returns'!F39-'Risk Factors'!$J39</f>
        <v>-5.1574934273958206E-2</v>
      </c>
      <c r="G39" s="25">
        <f>'Asset Returns'!G39-'Risk Factors'!$J39</f>
        <v>0.18516871333122253</v>
      </c>
      <c r="H39" s="25">
        <f>'Asset Returns'!H39-'Risk Factors'!$J39</f>
        <v>-7.3647074401378632E-2</v>
      </c>
      <c r="I39" s="25">
        <f>'Asset Returns'!I39-'Risk Factors'!$J39</f>
        <v>-5.6616306304931641E-2</v>
      </c>
      <c r="J39" s="25">
        <f>'Asset Returns'!J39-'Risk Factors'!$J39</f>
        <v>7.980038970708847E-2</v>
      </c>
      <c r="K39" s="25">
        <f>'Asset Returns'!K39-'Risk Factors'!$J39</f>
        <v>-9.0875133872032166E-2</v>
      </c>
      <c r="L39" s="25">
        <f>'Asset Returns'!L39-'Risk Factors'!$J39</f>
        <v>3.9122387766838074E-2</v>
      </c>
      <c r="M39" s="25">
        <f>'Asset Returns'!M39-'Risk Factors'!$J39</f>
        <v>-6.8488838151097298E-3</v>
      </c>
      <c r="N39" s="25">
        <f>'Asset Returns'!N39-'Risk Factors'!$J39</f>
        <v>3.7863638252019882E-2</v>
      </c>
      <c r="O39" s="25"/>
      <c r="P39" s="421">
        <f>'Asset Returns'!P39</f>
        <v>41333</v>
      </c>
      <c r="Q39" s="25">
        <f>'Asset Returns'!Q39-'Risk Factors'!$J39</f>
        <v>1.4882669014298244E-2</v>
      </c>
      <c r="R39" s="25">
        <f>'Asset Returns'!R39-'Risk Factors'!$J39</f>
        <v>1.2822921797951192E-2</v>
      </c>
      <c r="S39" s="260"/>
      <c r="T39" s="421">
        <f>'Asset Returns'!T39</f>
        <v>41333</v>
      </c>
      <c r="U39" s="25">
        <f>'Asset Returns'!U39-'Risk Factors'!$J39</f>
        <v>-3.2477350000000002E-2</v>
      </c>
      <c r="V39" s="25">
        <f>'Asset Returns'!V39-'Risk Factors'!$J39</f>
        <v>-2.5899E-3</v>
      </c>
      <c r="W39" s="25">
        <f>'Asset Returns'!W39-'Risk Factors'!$J39</f>
        <v>1.2922579999999999E-2</v>
      </c>
      <c r="X39" s="25">
        <f>'Asset Returns'!X39-'Risk Factors'!$J39</f>
        <v>-1.8484546146112169E-2</v>
      </c>
      <c r="Y39" s="25">
        <f>'Asset Returns'!Y39-'Risk Factors'!$J39</f>
        <v>-1.2345699999999999E-2</v>
      </c>
      <c r="Z39" s="25">
        <f>'Asset Returns'!Z39-'Risk Factors'!$J39</f>
        <v>-0.13623979999999999</v>
      </c>
      <c r="AA39" s="25">
        <f>'Asset Returns'!AA39-'Risk Factors'!$J39</f>
        <v>6.2659999999999994E-4</v>
      </c>
      <c r="AB39" s="25">
        <f>'Asset Returns'!AB39-'Risk Factors'!$J39</f>
        <v>-1.2911470000000001E-2</v>
      </c>
      <c r="AC39" s="25">
        <f>'Asset Returns'!AC39-'Risk Factors'!$J39</f>
        <v>3.2025999999999999E-2</v>
      </c>
    </row>
    <row r="40" spans="5:29">
      <c r="E40" s="421">
        <f>'Asset Returns'!E40</f>
        <v>41364</v>
      </c>
      <c r="F40" s="25">
        <f>'Asset Returns'!F40-'Risk Factors'!$J40</f>
        <v>-3.9233535528182983E-2</v>
      </c>
      <c r="G40" s="25">
        <f>'Asset Returns'!G40-'Risk Factors'!$J40</f>
        <v>0.11958122253417969</v>
      </c>
      <c r="H40" s="25">
        <f>'Asset Returns'!H40-'Risk Factors'!$J40</f>
        <v>3.2189022749662399E-2</v>
      </c>
      <c r="I40" s="25">
        <f>'Asset Returns'!I40-'Risk Factors'!$J40</f>
        <v>-6.3041985034942627E-2</v>
      </c>
      <c r="J40" s="25">
        <f>'Asset Returns'!J40-'Risk Factors'!$J40</f>
        <v>1.3098903931677341E-2</v>
      </c>
      <c r="K40" s="25">
        <f>'Asset Returns'!K40-'Risk Factors'!$J40</f>
        <v>4.3942913413047791E-2</v>
      </c>
      <c r="L40" s="25">
        <f>'Asset Returns'!L40-'Risk Factors'!$J40</f>
        <v>0.10697023570537567</v>
      </c>
      <c r="M40" s="25">
        <f>'Asset Returns'!M40-'Risk Factors'!$J40</f>
        <v>6.2092319130897522E-2</v>
      </c>
      <c r="N40" s="25">
        <f>'Asset Returns'!N40-'Risk Factors'!$J40</f>
        <v>7.1212716400623322E-2</v>
      </c>
      <c r="O40" s="25"/>
      <c r="P40" s="421">
        <f>'Asset Returns'!P40</f>
        <v>41364</v>
      </c>
      <c r="Q40" s="25">
        <f>'Asset Returns'!Q40-'Risk Factors'!$J40</f>
        <v>1.0472985604785823E-2</v>
      </c>
      <c r="R40" s="25">
        <f>'Asset Returns'!R40-'Risk Factors'!$J40</f>
        <v>-1.7649595362968507E-3</v>
      </c>
      <c r="S40" s="260"/>
      <c r="T40" s="421">
        <f>'Asset Returns'!T40</f>
        <v>41364</v>
      </c>
      <c r="U40" s="25">
        <f>'Asset Returns'!U40-'Risk Factors'!$J40</f>
        <v>1.8252210000000001E-2</v>
      </c>
      <c r="V40" s="25">
        <f>'Asset Returns'!V40-'Risk Factors'!$J40</f>
        <v>1.56483E-2</v>
      </c>
      <c r="W40" s="25">
        <f>'Asset Returns'!W40-'Risk Factors'!$J40</f>
        <v>1.898553E-2</v>
      </c>
      <c r="X40" s="25">
        <f>'Asset Returns'!X40-'Risk Factors'!$J40</f>
        <v>2.2715048272907268E-2</v>
      </c>
      <c r="Y40" s="25">
        <f>'Asset Returns'!Y40-'Risk Factors'!$J40</f>
        <v>-4.60227E-2</v>
      </c>
      <c r="Z40" s="25">
        <f>'Asset Returns'!Z40-'Risk Factors'!$J40</f>
        <v>-1.0514999999999999E-3</v>
      </c>
      <c r="AA40" s="25">
        <f>'Asset Returns'!AA40-'Risk Factors'!$J40</f>
        <v>2.3660999999999998E-2</v>
      </c>
      <c r="AB40" s="25">
        <f>'Asset Returns'!AB40-'Risk Factors'!$J40</f>
        <v>1.5814640000000001E-2</v>
      </c>
      <c r="AC40" s="25">
        <f>'Asset Returns'!AC40-'Risk Factors'!$J40</f>
        <v>7.6999700000000004E-2</v>
      </c>
    </row>
    <row r="41" spans="5:29">
      <c r="E41" s="421">
        <f>'Asset Returns'!E41</f>
        <v>41394</v>
      </c>
      <c r="F41" s="25">
        <f>'Asset Returns'!F41-'Risk Factors'!$J41</f>
        <v>-7.0465393364429474E-2</v>
      </c>
      <c r="G41" s="25">
        <f>'Asset Returns'!G41-'Risk Factors'!$J41</f>
        <v>8.3140842616558075E-2</v>
      </c>
      <c r="H41" s="25">
        <f>'Asset Returns'!H41-'Risk Factors'!$J41</f>
        <v>3.9482507854700089E-2</v>
      </c>
      <c r="I41" s="25">
        <f>'Asset Returns'!I41-'Risk Factors'!$J41</f>
        <v>0.1244472861289978</v>
      </c>
      <c r="J41" s="25">
        <f>'Asset Returns'!J41-'Risk Factors'!$J41</f>
        <v>0.12010952830314636</v>
      </c>
      <c r="K41" s="25">
        <f>'Asset Returns'!K41-'Risk Factors'!$J41</f>
        <v>-6.7354485392570496E-2</v>
      </c>
      <c r="L41" s="25">
        <f>'Asset Returns'!L41-'Risk Factors'!$J41</f>
        <v>3.5964608192443848E-2</v>
      </c>
      <c r="M41" s="25">
        <f>'Asset Returns'!M41-'Risk Factors'!$J41</f>
        <v>-5.0445385277271271E-2</v>
      </c>
      <c r="N41" s="25">
        <f>'Asset Returns'!N41-'Risk Factors'!$J41</f>
        <v>4.5382067561149597E-2</v>
      </c>
      <c r="O41" s="25"/>
      <c r="P41" s="421">
        <f>'Asset Returns'!P41</f>
        <v>41394</v>
      </c>
      <c r="Q41" s="25">
        <f>'Asset Returns'!Q41-'Risk Factors'!$J41</f>
        <v>1.9307976658735848E-2</v>
      </c>
      <c r="R41" s="25">
        <f>'Asset Returns'!R41-'Risk Factors'!$J41</f>
        <v>2.1483178124026781E-2</v>
      </c>
      <c r="S41" s="260"/>
      <c r="T41" s="421">
        <f>'Asset Returns'!T41</f>
        <v>41394</v>
      </c>
      <c r="U41" s="25">
        <f>'Asset Returns'!U41-'Risk Factors'!$J41</f>
        <v>5.0089740000000001E-2</v>
      </c>
      <c r="V41" s="25">
        <f>'Asset Returns'!V41-'Risk Factors'!$J41</f>
        <v>0.13949220000000001</v>
      </c>
      <c r="W41" s="25">
        <f>'Asset Returns'!W41-'Risk Factors'!$J41</f>
        <v>-5.3918600000000009E-3</v>
      </c>
      <c r="X41" s="25">
        <f>'Asset Returns'!X41-'Risk Factors'!$J41</f>
        <v>3.6659619870514248E-2</v>
      </c>
      <c r="Y41" s="25">
        <f>'Asset Returns'!Y41-'Risk Factors'!$J41</f>
        <v>6.5515E-3</v>
      </c>
      <c r="Z41" s="25">
        <f>'Asset Returns'!Z41-'Risk Factors'!$J41</f>
        <v>-0.17473680000000003</v>
      </c>
      <c r="AA41" s="25">
        <f>'Asset Returns'!AA41-'Risk Factors'!$J41</f>
        <v>3.23962E-2</v>
      </c>
      <c r="AB41" s="25">
        <f>'Asset Returns'!AB41-'Risk Factors'!$J41</f>
        <v>3.6036329999999998E-2</v>
      </c>
      <c r="AC41" s="25">
        <f>'Asset Returns'!AC41-'Risk Factors'!$J41</f>
        <v>3.6286600000000002E-2</v>
      </c>
    </row>
    <row r="42" spans="5:29">
      <c r="E42" s="421">
        <f>'Asset Returns'!E42</f>
        <v>41425</v>
      </c>
      <c r="F42" s="25">
        <f>'Asset Returns'!F42-'Risk Factors'!$J42</f>
        <v>9.8079191520810127E-3</v>
      </c>
      <c r="G42" s="25">
        <f>'Asset Returns'!G42-'Risk Factors'!$J42</f>
        <v>0.70102834701538086</v>
      </c>
      <c r="H42" s="25">
        <f>'Asset Returns'!H42-'Risk Factors'!$J42</f>
        <v>1.1815414763987064E-3</v>
      </c>
      <c r="I42" s="25">
        <f>'Asset Returns'!I42-'Risk Factors'!$J42</f>
        <v>-3.922466654330492E-3</v>
      </c>
      <c r="J42" s="25">
        <f>'Asset Returns'!J42-'Risk Factors'!$J42</f>
        <v>2.7980362996459007E-2</v>
      </c>
      <c r="K42" s="25">
        <f>'Asset Returns'!K42-'Risk Factors'!$J42</f>
        <v>6.4026474952697754E-2</v>
      </c>
      <c r="L42" s="25">
        <f>'Asset Returns'!L42-'Risk Factors'!$J42</f>
        <v>-4.8136644065380096E-2</v>
      </c>
      <c r="M42" s="25">
        <f>'Asset Returns'!M42-'Risk Factors'!$J42</f>
        <v>3.1820099800825119E-2</v>
      </c>
      <c r="N42" s="25">
        <f>'Asset Returns'!N42-'Risk Factors'!$J42</f>
        <v>-4.8449002206325531E-3</v>
      </c>
      <c r="O42" s="25"/>
      <c r="P42" s="421">
        <f>'Asset Returns'!P42</f>
        <v>41425</v>
      </c>
      <c r="Q42" s="25">
        <f>'Asset Returns'!Q42-'Risk Factors'!$J42</f>
        <v>-3.5125549517368571E-2</v>
      </c>
      <c r="R42" s="25">
        <f>'Asset Returns'!R42-'Risk Factors'!$J42</f>
        <v>-4.9050220541593137E-2</v>
      </c>
      <c r="S42" s="260"/>
      <c r="T42" s="421">
        <f>'Asset Returns'!T42</f>
        <v>41425</v>
      </c>
      <c r="U42" s="25">
        <f>'Asset Returns'!U42-'Risk Factors'!$J42</f>
        <v>6.4903800000000005E-3</v>
      </c>
      <c r="V42" s="25">
        <f>'Asset Returns'!V42-'Risk Factors'!$J42</f>
        <v>6.5629099999999996E-2</v>
      </c>
      <c r="W42" s="25">
        <f>'Asset Returns'!W42-'Risk Factors'!$J42</f>
        <v>2.4310700000000001E-2</v>
      </c>
      <c r="X42" s="25">
        <f>'Asset Returns'!X42-'Risk Factors'!$J42</f>
        <v>3.3388612183606892E-3</v>
      </c>
      <c r="Y42" s="25">
        <f>'Asset Returns'!Y42-'Risk Factors'!$J42</f>
        <v>-5.5029599999999998E-2</v>
      </c>
      <c r="Z42" s="25">
        <f>'Asset Returns'!Z42-'Risk Factors'!$J42</f>
        <v>-6.7601999999999995E-2</v>
      </c>
      <c r="AA42" s="25">
        <f>'Asset Returns'!AA42-'Risk Factors'!$J42</f>
        <v>1.0242999999999999E-3</v>
      </c>
      <c r="AB42" s="25">
        <f>'Asset Returns'!AB42-'Risk Factors'!$J42</f>
        <v>2.6931050000000002E-2</v>
      </c>
      <c r="AC42" s="25">
        <f>'Asset Returns'!AC42-'Risk Factors'!$J42</f>
        <v>4.2301700000000005E-2</v>
      </c>
    </row>
    <row r="43" spans="5:29">
      <c r="E43" s="421">
        <f>'Asset Returns'!E43</f>
        <v>41455</v>
      </c>
      <c r="F43" s="25">
        <f>'Asset Returns'!F43-'Risk Factors'!$J43</f>
        <v>-0.14002424478530884</v>
      </c>
      <c r="G43" s="25">
        <f>'Asset Returns'!G43-'Risk Factors'!$J43</f>
        <v>-3.873535618185997E-2</v>
      </c>
      <c r="H43" s="25">
        <f>'Asset Returns'!H43-'Risk Factors'!$J43</f>
        <v>-3.8062058389186859E-2</v>
      </c>
      <c r="I43" s="25">
        <f>'Asset Returns'!I43-'Risk Factors'!$J43</f>
        <v>-0.14655916392803192</v>
      </c>
      <c r="J43" s="25">
        <f>'Asset Returns'!J43-'Risk Factors'!$J43</f>
        <v>1.3128357939422131E-2</v>
      </c>
      <c r="K43" s="25">
        <f>'Asset Returns'!K43-'Risk Factors'!$J43</f>
        <v>-4.0553834289312363E-2</v>
      </c>
      <c r="L43" s="25">
        <f>'Asset Returns'!L43-'Risk Factors'!$J43</f>
        <v>6.1757165938615799E-2</v>
      </c>
      <c r="M43" s="25">
        <f>'Asset Returns'!M43-'Risk Factors'!$J43</f>
        <v>-8.1290267407894135E-2</v>
      </c>
      <c r="N43" s="25">
        <f>'Asset Returns'!N43-'Risk Factors'!$J43</f>
        <v>1.9957235082983971E-2</v>
      </c>
      <c r="O43" s="25"/>
      <c r="P43" s="421">
        <f>'Asset Returns'!P43</f>
        <v>41455</v>
      </c>
      <c r="Q43" s="25">
        <f>'Asset Returns'!Q43-'Risk Factors'!$J43</f>
        <v>-2.9120405729270549E-2</v>
      </c>
      <c r="R43" s="25">
        <f>'Asset Returns'!R43-'Risk Factors'!$J43</f>
        <v>-1.2994601526464922E-2</v>
      </c>
      <c r="S43" s="260"/>
      <c r="T43" s="421">
        <f>'Asset Returns'!T43</f>
        <v>41455</v>
      </c>
      <c r="U43" s="25">
        <f>'Asset Returns'!U43-'Risk Factors'!$J43</f>
        <v>-4.9851609999999998E-2</v>
      </c>
      <c r="V43" s="25">
        <f>'Asset Returns'!V43-'Risk Factors'!$J43</f>
        <v>-2.3409900000000001E-2</v>
      </c>
      <c r="W43" s="25">
        <f>'Asset Returns'!W43-'Risk Factors'!$J43</f>
        <v>-8.3529799999999994E-3</v>
      </c>
      <c r="X43" s="25">
        <f>'Asset Returns'!X43-'Risk Factors'!$J43</f>
        <v>-1.8517112322759544E-2</v>
      </c>
      <c r="Y43" s="25">
        <f>'Asset Returns'!Y43-'Risk Factors'!$J43</f>
        <v>3.3500299999999997E-2</v>
      </c>
      <c r="Z43" s="25">
        <f>'Asset Returns'!Z43-'Risk Factors'!$J43</f>
        <v>-0.1805746</v>
      </c>
      <c r="AA43" s="25">
        <f>'Asset Returns'!AA43-'Risk Factors'!$J43</f>
        <v>-2.5107599999999997E-2</v>
      </c>
      <c r="AB43" s="25">
        <f>'Asset Returns'!AB43-'Risk Factors'!$J43</f>
        <v>-2.7691029999999998E-2</v>
      </c>
      <c r="AC43" s="25">
        <f>'Asset Returns'!AC43-'Risk Factors'!$J43</f>
        <v>-2.8673299999999999E-2</v>
      </c>
    </row>
    <row r="44" spans="5:29">
      <c r="E44" s="421">
        <f>'Asset Returns'!E44</f>
        <v>41486</v>
      </c>
      <c r="F44" s="25">
        <f>'Asset Returns'!F44-'Risk Factors'!$J44</f>
        <v>0.17152942717075348</v>
      </c>
      <c r="G44" s="25">
        <f>'Asset Returns'!G44-'Risk Factors'!$J44</f>
        <v>0.42631208896636963</v>
      </c>
      <c r="H44" s="25">
        <f>'Asset Returns'!H44-'Risk Factors'!$J44</f>
        <v>-1.9614554475992918E-3</v>
      </c>
      <c r="I44" s="25">
        <f>'Asset Returns'!I44-'Risk Factors'!$J44</f>
        <v>1.6352223232388496E-2</v>
      </c>
      <c r="J44" s="25">
        <f>'Asset Returns'!J44-'Risk Factors'!$J44</f>
        <v>6.5935566090047359E-3</v>
      </c>
      <c r="K44" s="25">
        <f>'Asset Returns'!K44-'Risk Factors'!$J44</f>
        <v>0.17346362769603729</v>
      </c>
      <c r="L44" s="25">
        <f>'Asset Returns'!L44-'Risk Factors'!$J44</f>
        <v>3.7752415984869003E-2</v>
      </c>
      <c r="M44" s="25">
        <f>'Asset Returns'!M44-'Risk Factors'!$J44</f>
        <v>2.056407742202282E-2</v>
      </c>
      <c r="N44" s="25">
        <f>'Asset Returns'!N44-'Risk Factors'!$J44</f>
        <v>8.8982060551643372E-2</v>
      </c>
      <c r="O44" s="25"/>
      <c r="P44" s="421">
        <f>'Asset Returns'!P44</f>
        <v>41486</v>
      </c>
      <c r="Q44" s="25">
        <f>'Asset Returns'!Q44-'Risk Factors'!$J44</f>
        <v>-6.2002766873472392E-3</v>
      </c>
      <c r="R44" s="25">
        <f>'Asset Returns'!R44-'Risk Factors'!$J44</f>
        <v>-1.3673870333988258E-2</v>
      </c>
      <c r="S44" s="260"/>
      <c r="T44" s="421">
        <f>'Asset Returns'!T44</f>
        <v>41486</v>
      </c>
      <c r="U44" s="25">
        <f>'Asset Returns'!U44-'Risk Factors'!$J44</f>
        <v>6.5608410000000006E-2</v>
      </c>
      <c r="V44" s="25">
        <f>'Asset Returns'!V44-'Risk Factors'!$J44</f>
        <v>6.8827200000000005E-2</v>
      </c>
      <c r="W44" s="25">
        <f>'Asset Returns'!W44-'Risk Factors'!$J44</f>
        <v>4.2444229999999999E-2</v>
      </c>
      <c r="X44" s="25">
        <f>'Asset Returns'!X44-'Risk Factors'!$J44</f>
        <v>5.8935883384451104E-2</v>
      </c>
      <c r="Y44" s="25">
        <f>'Asset Returns'!Y44-'Risk Factors'!$J44</f>
        <v>-0.1002726</v>
      </c>
      <c r="Z44" s="25">
        <f>'Asset Returns'!Z44-'Risk Factors'!$J44</f>
        <v>0.1218698</v>
      </c>
      <c r="AA44" s="25">
        <f>'Asset Returns'!AA44-'Risk Factors'!$J44</f>
        <v>5.2551399999999998E-2</v>
      </c>
      <c r="AB44" s="25">
        <f>'Asset Returns'!AB44-'Risk Factors'!$J44</f>
        <v>3.9525489999999996E-2</v>
      </c>
      <c r="AC44" s="25">
        <f>'Asset Returns'!AC44-'Risk Factors'!$J44</f>
        <v>8.2170699999999999E-2</v>
      </c>
    </row>
    <row r="45" spans="5:29">
      <c r="E45" s="421">
        <f>'Asset Returns'!E45</f>
        <v>41517</v>
      </c>
      <c r="F45" s="25">
        <f>'Asset Returns'!F45-'Risk Factors'!$J45</f>
        <v>1.7272556200623512E-2</v>
      </c>
      <c r="G45" s="25">
        <f>'Asset Returns'!G45-'Risk Factors'!$J45</f>
        <v>-7.7463835477828979E-2</v>
      </c>
      <c r="H45" s="25">
        <f>'Asset Returns'!H45-'Risk Factors'!$J45</f>
        <v>1.4627302065491676E-2</v>
      </c>
      <c r="I45" s="25">
        <f>'Asset Returns'!I45-'Risk Factors'!$J45</f>
        <v>-5.1967434585094452E-2</v>
      </c>
      <c r="J45" s="25">
        <f>'Asset Returns'!J45-'Risk Factors'!$J45</f>
        <v>-2.5930549018085003E-3</v>
      </c>
      <c r="K45" s="25">
        <f>'Asset Returns'!K45-'Risk Factors'!$J45</f>
        <v>-3.4615375101566315E-2</v>
      </c>
      <c r="L45" s="25">
        <f>'Asset Returns'!L45-'Risk Factors'!$J45</f>
        <v>-3.236040472984314E-2</v>
      </c>
      <c r="M45" s="25">
        <f>'Asset Returns'!M45-'Risk Factors'!$J45</f>
        <v>-6.0765434056520462E-2</v>
      </c>
      <c r="N45" s="25">
        <f>'Asset Returns'!N45-'Risk Factors'!$J45</f>
        <v>-6.892973929643631E-2</v>
      </c>
      <c r="O45" s="25"/>
      <c r="P45" s="421">
        <f>'Asset Returns'!P45</f>
        <v>41517</v>
      </c>
      <c r="Q45" s="25">
        <f>'Asset Returns'!Q45-'Risk Factors'!$J45</f>
        <v>-2.2417363025583503E-2</v>
      </c>
      <c r="R45" s="25">
        <f>'Asset Returns'!R45-'Risk Factors'!$J45</f>
        <v>-1.1143866358590215E-2</v>
      </c>
      <c r="S45" s="260"/>
      <c r="T45" s="421">
        <f>'Asset Returns'!T45</f>
        <v>41517</v>
      </c>
      <c r="U45" s="25">
        <f>'Asset Returns'!U45-'Risk Factors'!$J45</f>
        <v>-9.0683400000000011E-3</v>
      </c>
      <c r="V45" s="25">
        <f>'Asset Returns'!V45-'Risk Factors'!$J45</f>
        <v>-4.0179900000000005E-2</v>
      </c>
      <c r="W45" s="25">
        <f>'Asset Returns'!W45-'Risk Factors'!$J45</f>
        <v>-1.051242E-2</v>
      </c>
      <c r="X45" s="25">
        <f>'Asset Returns'!X45-'Risk Factors'!$J45</f>
        <v>-2.8690991448110159E-2</v>
      </c>
      <c r="Y45" s="25">
        <f>'Asset Returns'!Y45-'Risk Factors'!$J45</f>
        <v>2.7609400000000003E-2</v>
      </c>
      <c r="Z45" s="25">
        <f>'Asset Returns'!Z45-'Risk Factors'!$J45</f>
        <v>8.779759999999999E-2</v>
      </c>
      <c r="AA45" s="25">
        <f>'Asset Returns'!AA45-'Risk Factors'!$J45</f>
        <v>-2.1673499999999998E-2</v>
      </c>
      <c r="AB45" s="25">
        <f>'Asset Returns'!AB45-'Risk Factors'!$J45</f>
        <v>-2.6109469999999999E-2</v>
      </c>
      <c r="AC45" s="25">
        <f>'Asset Returns'!AC45-'Risk Factors'!$J45</f>
        <v>-8.3327700000000005E-2</v>
      </c>
    </row>
    <row r="46" spans="5:29">
      <c r="E46" s="421">
        <f>'Asset Returns'!E46</f>
        <v>41547</v>
      </c>
      <c r="F46" s="25">
        <f>'Asset Returns'!F46-'Risk Factors'!$J46</f>
        <v>0.12379065155982971</v>
      </c>
      <c r="G46" s="25">
        <f>'Asset Returns'!G46-'Risk Factors'!$J46</f>
        <v>0.3525470495223999</v>
      </c>
      <c r="H46" s="25">
        <f>'Asset Returns'!H46-'Risk Factors'!$J46</f>
        <v>1.6130682080984116E-2</v>
      </c>
      <c r="I46" s="25">
        <f>'Asset Returns'!I46-'Risk Factors'!$J46</f>
        <v>0.17260713875293732</v>
      </c>
      <c r="J46" s="25">
        <f>'Asset Returns'!J46-'Risk Factors'!$J46</f>
        <v>6.5984383225440979E-2</v>
      </c>
      <c r="K46" s="25">
        <f>'Asset Returns'!K46-'Risk Factors'!$J46</f>
        <v>4.5897375792264938E-2</v>
      </c>
      <c r="L46" s="25">
        <f>'Asset Returns'!L46-'Risk Factors'!$J46</f>
        <v>0.13530054688453674</v>
      </c>
      <c r="M46" s="25">
        <f>'Asset Returns'!M46-'Risk Factors'!$J46</f>
        <v>1.5965325757861137E-2</v>
      </c>
      <c r="N46" s="25">
        <f>'Asset Returns'!N46-'Risk Factors'!$J46</f>
        <v>3.2403660006821156E-3</v>
      </c>
      <c r="O46" s="25"/>
      <c r="P46" s="421">
        <f>'Asset Returns'!P46</f>
        <v>41547</v>
      </c>
      <c r="Q46" s="25">
        <f>'Asset Returns'!Q46-'Risk Factors'!$J46</f>
        <v>1.6545408130703931E-2</v>
      </c>
      <c r="R46" s="25">
        <f>'Asset Returns'!R46-'Risk Factors'!$J46</f>
        <v>1.8048311462288691E-3</v>
      </c>
      <c r="S46" s="260"/>
      <c r="T46" s="421">
        <f>'Asset Returns'!T46</f>
        <v>41547</v>
      </c>
      <c r="U46" s="25">
        <f>'Asset Returns'!U46-'Risk Factors'!$J46</f>
        <v>5.9314390000000002E-2</v>
      </c>
      <c r="V46" s="25">
        <f>'Asset Returns'!V46-'Risk Factors'!$J46</f>
        <v>0.14123939999999999</v>
      </c>
      <c r="W46" s="25">
        <f>'Asset Returns'!W46-'Risk Factors'!$J46</f>
        <v>4.672424E-2</v>
      </c>
      <c r="X46" s="25">
        <f>'Asset Returns'!X46-'Risk Factors'!$J46</f>
        <v>6.4458364823571257E-2</v>
      </c>
      <c r="Y46" s="25">
        <f>'Asset Returns'!Y46-'Risk Factors'!$J46</f>
        <v>-4.8492800000000003E-2</v>
      </c>
      <c r="Z46" s="25">
        <f>'Asset Returns'!Z46-'Risk Factors'!$J46</f>
        <v>-8.8919300000000007E-2</v>
      </c>
      <c r="AA46" s="25">
        <f>'Asset Returns'!AA46-'Risk Factors'!$J46</f>
        <v>5.0047899999999999E-2</v>
      </c>
      <c r="AB46" s="25">
        <f>'Asset Returns'!AB46-'Risk Factors'!$J46</f>
        <v>5.1426720000000002E-2</v>
      </c>
      <c r="AC46" s="25">
        <f>'Asset Returns'!AC46-'Risk Factors'!$J46</f>
        <v>4.3822599999999996E-2</v>
      </c>
    </row>
    <row r="47" spans="5:29">
      <c r="E47" s="421">
        <f>'Asset Returns'!E47</f>
        <v>41578</v>
      </c>
      <c r="F47" s="25">
        <f>'Asset Returns'!F47-'Risk Factors'!$J47</f>
        <v>5.3056932985782623E-2</v>
      </c>
      <c r="G47" s="25">
        <f>'Asset Returns'!G47-'Risk Factors'!$J47</f>
        <v>6.491117924451828E-2</v>
      </c>
      <c r="H47" s="25">
        <f>'Asset Returns'!H47-'Risk Factors'!$J47</f>
        <v>0.10571345686912537</v>
      </c>
      <c r="I47" s="25">
        <f>'Asset Returns'!I47-'Risk Factors'!$J47</f>
        <v>0.16776686906814575</v>
      </c>
      <c r="J47" s="25">
        <f>'Asset Returns'!J47-'Risk Factors'!$J47</f>
        <v>1.4510360546410084E-2</v>
      </c>
      <c r="K47" s="25">
        <f>'Asset Returns'!K47-'Risk Factors'!$J47</f>
        <v>9.9150225520133972E-2</v>
      </c>
      <c r="L47" s="25">
        <f>'Asset Returns'!L47-'Risk Factors'!$J47</f>
        <v>4.3896805495023727E-2</v>
      </c>
      <c r="M47" s="25">
        <f>'Asset Returns'!M47-'Risk Factors'!$J47</f>
        <v>-3.2238904386758804E-2</v>
      </c>
      <c r="N47" s="25">
        <f>'Asset Returns'!N47-'Risk Factors'!$J47</f>
        <v>6.8289309740066528E-2</v>
      </c>
      <c r="O47" s="25"/>
      <c r="P47" s="421">
        <f>'Asset Returns'!P47</f>
        <v>41578</v>
      </c>
      <c r="Q47" s="25">
        <f>'Asset Returns'!Q47-'Risk Factors'!$J47</f>
        <v>1.0280476511857817E-2</v>
      </c>
      <c r="R47" s="25">
        <f>'Asset Returns'!R47-'Risk Factors'!$J47</f>
        <v>1.8069414433012909E-3</v>
      </c>
      <c r="S47" s="260"/>
      <c r="T47" s="421">
        <f>'Asset Returns'!T47</f>
        <v>41578</v>
      </c>
      <c r="U47" s="25">
        <f>'Asset Returns'!U47-'Risk Factors'!$J47</f>
        <v>3.9490020000000001E-2</v>
      </c>
      <c r="V47" s="25">
        <f>'Asset Returns'!V47-'Risk Factors'!$J47</f>
        <v>3.4603500000000002E-2</v>
      </c>
      <c r="W47" s="25">
        <f>'Asset Returns'!W47-'Risk Factors'!$J47</f>
        <v>2.8465760000000003E-2</v>
      </c>
      <c r="X47" s="25">
        <f>'Asset Returns'!X47-'Risk Factors'!$J47</f>
        <v>3.3593786778892465E-2</v>
      </c>
      <c r="Y47" s="25">
        <f>'Asset Returns'!Y47-'Risk Factors'!$J47</f>
        <v>-8.5915999999999992E-2</v>
      </c>
      <c r="Z47" s="25">
        <f>'Asset Returns'!Z47-'Risk Factors'!$J47</f>
        <v>-3.6035999999999999E-2</v>
      </c>
      <c r="AA47" s="25">
        <f>'Asset Returns'!AA47-'Risk Factors'!$J47</f>
        <v>3.8718000000000002E-2</v>
      </c>
      <c r="AB47" s="25">
        <f>'Asset Returns'!AB47-'Risk Factors'!$J47</f>
        <v>3.9091399999999998E-2</v>
      </c>
      <c r="AC47" s="25">
        <f>'Asset Returns'!AC47-'Risk Factors'!$J47</f>
        <v>5.55989E-2</v>
      </c>
    </row>
    <row r="48" spans="5:29">
      <c r="E48" s="421">
        <f>'Asset Returns'!E48</f>
        <v>41608</v>
      </c>
      <c r="F48" s="25">
        <f>'Asset Returns'!F48-'Risk Factors'!$J48</f>
        <v>-7.707706093788147E-2</v>
      </c>
      <c r="G48" s="25">
        <f>'Asset Returns'!G48-'Risk Factors'!$J48</f>
        <v>6.2536969780921936E-2</v>
      </c>
      <c r="H48" s="25">
        <f>'Asset Returns'!H48-'Risk Factors'!$J48</f>
        <v>3.0286870896816254E-2</v>
      </c>
      <c r="I48" s="25">
        <f>'Asset Returns'!I48-'Risk Factors'!$J48</f>
        <v>2.872026339173317E-2</v>
      </c>
      <c r="J48" s="25">
        <f>'Asset Returns'!J48-'Risk Factors'!$J48</f>
        <v>-3.8553483784198761E-2</v>
      </c>
      <c r="K48" s="25">
        <f>'Asset Returns'!K48-'Risk Factors'!$J48</f>
        <v>1.1673958972096443E-2</v>
      </c>
      <c r="L48" s="25">
        <f>'Asset Returns'!L48-'Risk Factors'!$J48</f>
        <v>4.7215048223733902E-2</v>
      </c>
      <c r="M48" s="25">
        <f>'Asset Returns'!M48-'Risk Factors'!$J48</f>
        <v>7.9381633549928665E-3</v>
      </c>
      <c r="N48" s="25">
        <f>'Asset Returns'!N48-'Risk Factors'!$J48</f>
        <v>2.9218355193734169E-2</v>
      </c>
      <c r="O48" s="25"/>
      <c r="P48" s="421">
        <f>'Asset Returns'!P48</f>
        <v>41608</v>
      </c>
      <c r="Q48" s="25">
        <f>'Asset Returns'!Q48-'Risk Factors'!$J48</f>
        <v>2.9723620432513087E-2</v>
      </c>
      <c r="R48" s="25">
        <f>'Asset Returns'!R48-'Risk Factors'!$J48</f>
        <v>-2.1740526653821535E-2</v>
      </c>
      <c r="S48" s="260"/>
      <c r="T48" s="421">
        <f>'Asset Returns'!T48</f>
        <v>41608</v>
      </c>
      <c r="U48" s="25">
        <f>'Asset Returns'!U48-'Risk Factors'!$J48</f>
        <v>1.9185850000000001E-2</v>
      </c>
      <c r="V48" s="25">
        <f>'Asset Returns'!V48-'Risk Factors'!$J48</f>
        <v>2.2909999999999999E-4</v>
      </c>
      <c r="W48" s="25">
        <f>'Asset Returns'!W48-'Risk Factors'!$J48</f>
        <v>1.8522959999999998E-2</v>
      </c>
      <c r="X48" s="25">
        <f>'Asset Returns'!X48-'Risk Factors'!$J48</f>
        <v>2.6912500751511859E-2</v>
      </c>
      <c r="Y48" s="25">
        <f>'Asset Returns'!Y48-'Risk Factors'!$J48</f>
        <v>-1.3938600000000001E-2</v>
      </c>
      <c r="Z48" s="25">
        <f>'Asset Returns'!Z48-'Risk Factors'!$J48</f>
        <v>-8.566979999999999E-2</v>
      </c>
      <c r="AA48" s="25">
        <f>'Asset Returns'!AA48-'Risk Factors'!$J48</f>
        <v>1.8204100000000001E-2</v>
      </c>
      <c r="AB48" s="25">
        <f>'Asset Returns'!AB48-'Risk Factors'!$J48</f>
        <v>1.9602170000000002E-2</v>
      </c>
      <c r="AC48" s="25">
        <f>'Asset Returns'!AC48-'Risk Factors'!$J48</f>
        <v>7.5243500000000005E-2</v>
      </c>
    </row>
    <row r="49" spans="5:29">
      <c r="E49" s="421">
        <f>'Asset Returns'!E49</f>
        <v>41639</v>
      </c>
      <c r="F49" s="25">
        <f>'Asset Returns'!F49-'Risk Factors'!$J49</f>
        <v>-2.3861166089773178E-2</v>
      </c>
      <c r="G49" s="25">
        <f>'Asset Returns'!G49-'Risk Factors'!$J49</f>
        <v>3.5799555480480194E-2</v>
      </c>
      <c r="H49" s="25">
        <f>'Asset Returns'!H49-'Risk Factors'!$J49</f>
        <v>2.3804876953363419E-2</v>
      </c>
      <c r="I49" s="25">
        <f>'Asset Returns'!I49-'Risk Factors'!$J49</f>
        <v>-4.6240661293268204E-2</v>
      </c>
      <c r="J49" s="25">
        <f>'Asset Returns'!J49-'Risk Factors'!$J49</f>
        <v>-1.9961094483733177E-2</v>
      </c>
      <c r="K49" s="25">
        <f>'Asset Returns'!K49-'Risk Factors'!$J49</f>
        <v>2.3567702621221542E-2</v>
      </c>
      <c r="L49" s="25">
        <f>'Asset Returns'!L49-'Risk Factors'!$J49</f>
        <v>5.4579075425863266E-2</v>
      </c>
      <c r="M49" s="25">
        <f>'Asset Returns'!M49-'Risk Factors'!$J49</f>
        <v>4.3911397457122803E-2</v>
      </c>
      <c r="N49" s="25">
        <f>'Asset Returns'!N49-'Risk Factors'!$J49</f>
        <v>-3.2431859523057938E-2</v>
      </c>
      <c r="O49" s="25"/>
      <c r="P49" s="421">
        <f>'Asset Returns'!P49</f>
        <v>41639</v>
      </c>
      <c r="Q49" s="25">
        <f>'Asset Returns'!Q49-'Risk Factors'!$J49</f>
        <v>-5.175294672324382E-2</v>
      </c>
      <c r="R49" s="25">
        <f>'Asset Returns'!R49-'Risk Factors'!$J49</f>
        <v>-9.3939095514776749E-3</v>
      </c>
      <c r="S49" s="260"/>
      <c r="T49" s="421">
        <f>'Asset Returns'!T49</f>
        <v>41639</v>
      </c>
      <c r="U49" s="25">
        <f>'Asset Returns'!U49-'Risk Factors'!$J49</f>
        <v>1.9712069999999998E-2</v>
      </c>
      <c r="V49" s="25">
        <f>'Asset Returns'!V49-'Risk Factors'!$J49</f>
        <v>-2.3422999999999999E-3</v>
      </c>
      <c r="W49" s="25">
        <f>'Asset Returns'!W49-'Risk Factors'!$J49</f>
        <v>1.0368179999999999E-2</v>
      </c>
      <c r="X49" s="25">
        <f>'Asset Returns'!X49-'Risk Factors'!$J49</f>
        <v>2.2933483165109569E-2</v>
      </c>
      <c r="Y49" s="25">
        <f>'Asset Returns'!Y49-'Risk Factors'!$J49</f>
        <v>-5.9407800000000004E-2</v>
      </c>
      <c r="Z49" s="25">
        <f>'Asset Returns'!Z49-'Risk Factors'!$J49</f>
        <v>-3.0664400000000001E-2</v>
      </c>
      <c r="AA49" s="25">
        <f>'Asset Returns'!AA49-'Risk Factors'!$J49</f>
        <v>2.0657399999999999E-2</v>
      </c>
      <c r="AB49" s="25">
        <f>'Asset Returns'!AB49-'Risk Factors'!$J49</f>
        <v>2.2299360000000001E-2</v>
      </c>
      <c r="AC49" s="25">
        <f>'Asset Returns'!AC49-'Risk Factors'!$J49</f>
        <v>6.1980599999999997E-2</v>
      </c>
    </row>
    <row r="50" spans="5:29">
      <c r="E50" s="421">
        <f>'Asset Returns'!E50</f>
        <v>41670</v>
      </c>
      <c r="F50" s="25">
        <f>'Asset Returns'!F50-'Risk Factors'!$J50</f>
        <v>-2.370368130505085E-2</v>
      </c>
      <c r="G50" s="25">
        <f>'Asset Returns'!G50-'Risk Factors'!$J50</f>
        <v>0.11163568496704102</v>
      </c>
      <c r="H50" s="25">
        <f>'Asset Returns'!H50-'Risk Factors'!$J50</f>
        <v>-2.8173357248306274E-2</v>
      </c>
      <c r="I50" s="25">
        <f>'Asset Returns'!I50-'Risk Factors'!$J50</f>
        <v>-8.319120854139328E-2</v>
      </c>
      <c r="J50" s="25">
        <f>'Asset Returns'!J50-'Risk Factors'!$J50</f>
        <v>-4.935074970126152E-2</v>
      </c>
      <c r="K50" s="25">
        <f>'Asset Returns'!K50-'Risk Factors'!$J50</f>
        <v>-5.0901476293802261E-2</v>
      </c>
      <c r="L50" s="25">
        <f>'Asset Returns'!L50-'Risk Factors'!$J50</f>
        <v>-1.1506537906825542E-2</v>
      </c>
      <c r="M50" s="25">
        <f>'Asset Returns'!M50-'Risk Factors'!$J50</f>
        <v>-5.8058328926563263E-2</v>
      </c>
      <c r="N50" s="25">
        <f>'Asset Returns'!N50-'Risk Factors'!$J50</f>
        <v>-3.4064855426549911E-2</v>
      </c>
      <c r="O50" s="25"/>
      <c r="P50" s="421">
        <f>'Asset Returns'!P50</f>
        <v>41670</v>
      </c>
      <c r="Q50" s="25">
        <f>'Asset Returns'!Q50-'Risk Factors'!$J50</f>
        <v>5.6160602058837661E-2</v>
      </c>
      <c r="R50" s="25">
        <f>'Asset Returns'!R50-'Risk Factors'!$J50</f>
        <v>5.4975947332666752E-2</v>
      </c>
      <c r="S50" s="260"/>
      <c r="T50" s="421">
        <f>'Asset Returns'!T50</f>
        <v>41670</v>
      </c>
      <c r="U50" s="25">
        <f>'Asset Returns'!U50-'Risk Factors'!$J50</f>
        <v>-4.0328030000000001E-2</v>
      </c>
      <c r="V50" s="25">
        <f>'Asset Returns'!V50-'Risk Factors'!$J50</f>
        <v>4.7577000000000001E-3</v>
      </c>
      <c r="W50" s="25">
        <f>'Asset Returns'!W50-'Risk Factors'!$J50</f>
        <v>-1.207052E-2</v>
      </c>
      <c r="X50" s="25">
        <f>'Asset Returns'!X50-'Risk Factors'!$J50</f>
        <v>-3.4183997240553654E-2</v>
      </c>
      <c r="Y50" s="25">
        <f>'Asset Returns'!Y50-'Risk Factors'!$J50</f>
        <v>0.13017870000000001</v>
      </c>
      <c r="Z50" s="25">
        <f>'Asset Returns'!Z50-'Risk Factors'!$J50</f>
        <v>8.9630899999999999E-2</v>
      </c>
      <c r="AA50" s="25">
        <f>'Asset Returns'!AA50-'Risk Factors'!$J50</f>
        <v>-3.7541600000000001E-2</v>
      </c>
      <c r="AB50" s="25">
        <f>'Asset Returns'!AB50-'Risk Factors'!$J50</f>
        <v>-2.39019E-2</v>
      </c>
      <c r="AC50" s="25">
        <f>'Asset Returns'!AC50-'Risk Factors'!$J50</f>
        <v>-0.1043125</v>
      </c>
    </row>
    <row r="51" spans="5:29">
      <c r="E51" s="421">
        <f>'Asset Returns'!E51</f>
        <v>41698</v>
      </c>
      <c r="F51" s="25">
        <f>'Asset Returns'!F51-'Risk Factors'!$J51</f>
        <v>-6.0318667441606522E-2</v>
      </c>
      <c r="G51" s="25">
        <f>'Asset Returns'!G51-'Risk Factors'!$J51</f>
        <v>9.9468238651752472E-2</v>
      </c>
      <c r="H51" s="25">
        <f>'Asset Returns'!H51-'Risk Factors'!$J51</f>
        <v>8.8651753962039948E-2</v>
      </c>
      <c r="I51" s="25">
        <f>'Asset Returns'!I51-'Risk Factors'!$J51</f>
        <v>0.20581063628196716</v>
      </c>
      <c r="J51" s="25">
        <f>'Asset Returns'!J51-'Risk Factors'!$J51</f>
        <v>-1.4790707267820835E-2</v>
      </c>
      <c r="K51" s="25">
        <f>'Asset Returns'!K51-'Risk Factors'!$J51</f>
        <v>5.1589892245829105E-3</v>
      </c>
      <c r="L51" s="25">
        <f>'Asset Returns'!L51-'Risk Factors'!$J51</f>
        <v>0.15948639810085297</v>
      </c>
      <c r="M51" s="25">
        <f>'Asset Returns'!M51-'Risk Factors'!$J51</f>
        <v>5.3753156214952469E-2</v>
      </c>
      <c r="N51" s="25">
        <f>'Asset Returns'!N51-'Risk Factors'!$J51</f>
        <v>4.8765987157821655E-2</v>
      </c>
      <c r="O51" s="25"/>
      <c r="P51" s="421">
        <f>'Asset Returns'!P51</f>
        <v>41698</v>
      </c>
      <c r="Q51" s="25">
        <f>'Asset Returns'!Q51-'Risk Factors'!$J51</f>
        <v>4.2482195516018173E-3</v>
      </c>
      <c r="R51" s="25">
        <f>'Asset Returns'!R51-'Risk Factors'!$J51</f>
        <v>7.7219066565454852E-3</v>
      </c>
      <c r="S51" s="260"/>
      <c r="T51" s="421">
        <f>'Asset Returns'!T51</f>
        <v>41698</v>
      </c>
      <c r="U51" s="25">
        <f>'Asset Returns'!U51-'Risk Factors'!$J51</f>
        <v>5.6364049999999999E-2</v>
      </c>
      <c r="V51" s="25">
        <f>'Asset Returns'!V51-'Risk Factors'!$J51</f>
        <v>7.7687300000000001E-2</v>
      </c>
      <c r="W51" s="25">
        <f>'Asset Returns'!W51-'Risk Factors'!$J51</f>
        <v>6.0434260000000004E-2</v>
      </c>
      <c r="X51" s="25">
        <f>'Asset Returns'!X51-'Risk Factors'!$J51</f>
        <v>6.3221754447908118E-2</v>
      </c>
      <c r="Y51" s="25">
        <f>'Asset Returns'!Y51-'Risk Factors'!$J51</f>
        <v>-0.1069182</v>
      </c>
      <c r="Z51" s="25">
        <f>'Asset Returns'!Z51-'Risk Factors'!$J51</f>
        <v>0.1532258</v>
      </c>
      <c r="AA51" s="25">
        <f>'Asset Returns'!AA51-'Risk Factors'!$J51</f>
        <v>4.9546400000000004E-2</v>
      </c>
      <c r="AB51" s="25">
        <f>'Asset Returns'!AB51-'Risk Factors'!$J51</f>
        <v>5.6516749999999998E-2</v>
      </c>
      <c r="AC51" s="25">
        <f>'Asset Returns'!AC51-'Risk Factors'!$J51</f>
        <v>8.5128700000000002E-2</v>
      </c>
    </row>
    <row r="52" spans="5:29">
      <c r="E52" s="421">
        <f>'Asset Returns'!E52</f>
        <v>41729</v>
      </c>
      <c r="F52" s="25">
        <f>'Asset Returns'!F52-'Risk Factors'!$J52</f>
        <v>-4.4408803805708885E-3</v>
      </c>
      <c r="G52" s="25">
        <f>'Asset Returns'!G52-'Risk Factors'!$J52</f>
        <v>0.11177646368741989</v>
      </c>
      <c r="H52" s="25">
        <f>'Asset Returns'!H52-'Risk Factors'!$J52</f>
        <v>-5.3324155509471893E-2</v>
      </c>
      <c r="I52" s="25">
        <f>'Asset Returns'!I52-'Risk Factors'!$J52</f>
        <v>-7.7501009218394756E-3</v>
      </c>
      <c r="J52" s="25">
        <f>'Asset Returns'!J52-'Risk Factors'!$J52</f>
        <v>6.113861221820116E-3</v>
      </c>
      <c r="K52" s="25">
        <f>'Asset Returns'!K52-'Risk Factors'!$J52</f>
        <v>3.5968914162367582E-3</v>
      </c>
      <c r="L52" s="25">
        <f>'Asset Returns'!L52-'Risk Factors'!$J52</f>
        <v>-4.2109865695238113E-2</v>
      </c>
      <c r="M52" s="25">
        <f>'Asset Returns'!M52-'Risk Factors'!$J52</f>
        <v>3.9531238377094269E-2</v>
      </c>
      <c r="N52" s="25">
        <f>'Asset Returns'!N52-'Risk Factors'!$J52</f>
        <v>6.6326528787612915E-2</v>
      </c>
      <c r="O52" s="25"/>
      <c r="P52" s="421">
        <f>'Asset Returns'!P52</f>
        <v>41729</v>
      </c>
      <c r="Q52" s="25">
        <f>'Asset Returns'!Q52-'Risk Factors'!$J52</f>
        <v>-1.8938612643493169E-3</v>
      </c>
      <c r="R52" s="25">
        <f>'Asset Returns'!R52-'Risk Factors'!$J52</f>
        <v>9.3563301989714187E-3</v>
      </c>
      <c r="S52" s="260"/>
      <c r="T52" s="421">
        <f>'Asset Returns'!T52</f>
        <v>41729</v>
      </c>
      <c r="U52" s="25">
        <f>'Asset Returns'!U52-'Risk Factors'!$J52</f>
        <v>-4.2629599999999997E-3</v>
      </c>
      <c r="V52" s="25">
        <f>'Asset Returns'!V52-'Risk Factors'!$J52</f>
        <v>-8.8683000000000008E-3</v>
      </c>
      <c r="W52" s="25">
        <f>'Asset Returns'!W52-'Risk Factors'!$J52</f>
        <v>-5.7734700000000002E-3</v>
      </c>
      <c r="X52" s="25">
        <f>'Asset Returns'!X52-'Risk Factors'!$J52</f>
        <v>-2.1810862374543993E-2</v>
      </c>
      <c r="Y52" s="25">
        <f>'Asset Returns'!Y52-'Risk Factors'!$J52</f>
        <v>-5.2112699999999998E-2</v>
      </c>
      <c r="Z52" s="25">
        <f>'Asset Returns'!Z52-'Risk Factors'!$J52</f>
        <v>-8.9510500000000007E-2</v>
      </c>
      <c r="AA52" s="25">
        <f>'Asset Returns'!AA52-'Risk Factors'!$J52</f>
        <v>1.5677E-3</v>
      </c>
      <c r="AB52" s="25">
        <f>'Asset Returns'!AB52-'Risk Factors'!$J52</f>
        <v>-9.5937000000000001E-3</v>
      </c>
      <c r="AC52" s="25">
        <f>'Asset Returns'!AC52-'Risk Factors'!$J52</f>
        <v>1.5859600000000001E-2</v>
      </c>
    </row>
    <row r="53" spans="5:29">
      <c r="E53" s="421">
        <f>'Asset Returns'!E53</f>
        <v>41759</v>
      </c>
      <c r="F53" s="25">
        <f>'Asset Returns'!F53-'Risk Factors'!$J53</f>
        <v>-6.3057594001293182E-2</v>
      </c>
      <c r="G53" s="25">
        <f>'Asset Returns'!G53-'Risk Factors'!$J53</f>
        <v>0.10333398729562759</v>
      </c>
      <c r="H53" s="25">
        <f>'Asset Returns'!H53-'Risk Factors'!$J53</f>
        <v>5.3363952785730362E-2</v>
      </c>
      <c r="I53" s="25">
        <f>'Asset Returns'!I53-'Risk Factors'!$J53</f>
        <v>3.0166223645210266E-2</v>
      </c>
      <c r="J53" s="25">
        <f>'Asset Returns'!J53-'Risk Factors'!$J53</f>
        <v>-4.5466713607311249E-2</v>
      </c>
      <c r="K53" s="25">
        <f>'Asset Returns'!K53-'Risk Factors'!$J53</f>
        <v>-8.9818574488162994E-2</v>
      </c>
      <c r="L53" s="25">
        <f>'Asset Returns'!L53-'Risk Factors'!$J53</f>
        <v>-6.1606328934431076E-2</v>
      </c>
      <c r="M53" s="25">
        <f>'Asset Returns'!M53-'Risk Factors'!$J53</f>
        <v>2.0676396787166595E-2</v>
      </c>
      <c r="N53" s="25">
        <f>'Asset Returns'!N53-'Risk Factors'!$J53</f>
        <v>3.1151378527283669E-2</v>
      </c>
      <c r="O53" s="25"/>
      <c r="P53" s="421">
        <f>'Asset Returns'!P53</f>
        <v>41759</v>
      </c>
      <c r="Q53" s="25">
        <f>'Asset Returns'!Q53-'Risk Factors'!$J53</f>
        <v>1.0156079745703428E-2</v>
      </c>
      <c r="R53" s="25">
        <f>'Asset Returns'!R53-'Risk Factors'!$J53</f>
        <v>1.3330519684390918E-2</v>
      </c>
      <c r="S53" s="260"/>
      <c r="T53" s="421">
        <f>'Asset Returns'!T53</f>
        <v>41759</v>
      </c>
      <c r="U53" s="25">
        <f>'Asset Returns'!U53-'Risk Factors'!$J53</f>
        <v>2.2959920000000002E-2</v>
      </c>
      <c r="V53" s="25">
        <f>'Asset Returns'!V53-'Risk Factors'!$J53</f>
        <v>-4.6024599999999999E-2</v>
      </c>
      <c r="W53" s="25">
        <f>'Asset Returns'!W53-'Risk Factors'!$J53</f>
        <v>-1.546696E-2</v>
      </c>
      <c r="X53" s="25">
        <f>'Asset Returns'!X53-'Risk Factors'!$J53</f>
        <v>-1.6026955935724785E-2</v>
      </c>
      <c r="Y53" s="25">
        <f>'Asset Returns'!Y53-'Risk Factors'!$J53</f>
        <v>-9.7006999999999996E-2</v>
      </c>
      <c r="Z53" s="25">
        <f>'Asset Returns'!Z53-'Risk Factors'!$J53</f>
        <v>6.1443999999999995E-3</v>
      </c>
      <c r="AA53" s="25">
        <f>'Asset Returns'!AA53-'Risk Factors'!$J53</f>
        <v>1.05822E-2</v>
      </c>
      <c r="AB53" s="25">
        <f>'Asset Returns'!AB53-'Risk Factors'!$J53</f>
        <v>-6.4374299999999992E-3</v>
      </c>
      <c r="AC53" s="25">
        <f>'Asset Returns'!AC53-'Risk Factors'!$J53</f>
        <v>1.4896899999999999E-2</v>
      </c>
    </row>
    <row r="54" spans="5:29">
      <c r="E54" s="421">
        <f>'Asset Returns'!E54</f>
        <v>41790</v>
      </c>
      <c r="F54" s="25">
        <f>'Asset Returns'!F54-'Risk Factors'!$J54</f>
        <v>0.12508121132850647</v>
      </c>
      <c r="G54" s="25">
        <f>'Asset Returns'!G54-'Risk Factors'!$J54</f>
        <v>0.20678377151489258</v>
      </c>
      <c r="H54" s="25">
        <f>'Asset Returns'!H54-'Risk Factors'!$J54</f>
        <v>1.2511732988059521E-2</v>
      </c>
      <c r="I54" s="25">
        <f>'Asset Returns'!I54-'Risk Factors'!$J54</f>
        <v>2.1469922736287117E-2</v>
      </c>
      <c r="J54" s="25">
        <f>'Asset Returns'!J54-'Risk Factors'!$J54</f>
        <v>4.8574361950159073E-2</v>
      </c>
      <c r="K54" s="25">
        <f>'Asset Returns'!K54-'Risk Factors'!$J54</f>
        <v>2.3286081850528717E-2</v>
      </c>
      <c r="L54" s="25">
        <f>'Asset Returns'!L54-'Risk Factors'!$J54</f>
        <v>4.6198736876249313E-2</v>
      </c>
      <c r="M54" s="25">
        <f>'Asset Returns'!M54-'Risk Factors'!$J54</f>
        <v>-5.6185193359851837E-2</v>
      </c>
      <c r="N54" s="25">
        <f>'Asset Returns'!N54-'Risk Factors'!$J54</f>
        <v>8.6234249174594879E-3</v>
      </c>
      <c r="O54" s="25"/>
      <c r="P54" s="421">
        <f>'Asset Returns'!P54</f>
        <v>41790</v>
      </c>
      <c r="Q54" s="25">
        <f>'Asset Returns'!Q54-'Risk Factors'!$J54</f>
        <v>2.023812623442911E-2</v>
      </c>
      <c r="R54" s="25">
        <f>'Asset Returns'!R54-'Risk Factors'!$J54</f>
        <v>2.1723782386314561E-2</v>
      </c>
      <c r="S54" s="260"/>
      <c r="T54" s="421">
        <f>'Asset Returns'!T54</f>
        <v>41790</v>
      </c>
      <c r="U54" s="25">
        <f>'Asset Returns'!U54-'Risk Factors'!$J54</f>
        <v>1.670189E-2</v>
      </c>
      <c r="V54" s="25">
        <f>'Asset Returns'!V54-'Risk Factors'!$J54</f>
        <v>4.2814699999999997E-2</v>
      </c>
      <c r="W54" s="25">
        <f>'Asset Returns'!W54-'Risk Factors'!$J54</f>
        <v>1.5444770000000002E-2</v>
      </c>
      <c r="X54" s="25">
        <f>'Asset Returns'!X54-'Risk Factors'!$J54</f>
        <v>2.2996312756609516E-2</v>
      </c>
      <c r="Y54" s="25">
        <f>'Asset Returns'!Y54-'Risk Factors'!$J54</f>
        <v>-3.0794499999999999E-2</v>
      </c>
      <c r="Z54" s="25">
        <f>'Asset Returns'!Z54-'Risk Factors'!$J54</f>
        <v>-4.8855000000000003E-2</v>
      </c>
      <c r="AA54" s="25">
        <f>'Asset Returns'!AA54-'Risk Factors'!$J54</f>
        <v>1.9994000000000001E-2</v>
      </c>
      <c r="AB54" s="25">
        <f>'Asset Returns'!AB54-'Risk Factors'!$J54</f>
        <v>1.9374590000000001E-2</v>
      </c>
      <c r="AC54" s="25">
        <f>'Asset Returns'!AC54-'Risk Factors'!$J54</f>
        <v>2.14302E-2</v>
      </c>
    </row>
    <row r="55" spans="5:29">
      <c r="E55" s="421">
        <f>'Asset Returns'!E55</f>
        <v>41820</v>
      </c>
      <c r="F55" s="25">
        <f>'Asset Returns'!F55-'Risk Factors'!$J55</f>
        <v>7.5976088643074036E-2</v>
      </c>
      <c r="G55" s="25">
        <f>'Asset Returns'!G55-'Risk Factors'!$J55</f>
        <v>-5.7656370103359222E-2</v>
      </c>
      <c r="H55" s="25">
        <f>'Asset Returns'!H55-'Risk Factors'!$J55</f>
        <v>4.3488860130310059E-2</v>
      </c>
      <c r="I55" s="25">
        <f>'Asset Returns'!I55-'Risk Factors'!$J55</f>
        <v>2.0923832431435585E-2</v>
      </c>
      <c r="J55" s="25">
        <f>'Asset Returns'!J55-'Risk Factors'!$J55</f>
        <v>6.0651939362287521E-2</v>
      </c>
      <c r="K55" s="25">
        <f>'Asset Returns'!K55-'Risk Factors'!$J55</f>
        <v>3.5846282262355089E-3</v>
      </c>
      <c r="L55" s="25">
        <f>'Asset Returns'!L55-'Risk Factors'!$J55</f>
        <v>0.12116517126560211</v>
      </c>
      <c r="M55" s="25">
        <f>'Asset Returns'!M55-'Risk Factors'!$J55</f>
        <v>-1.6760682687163353E-2</v>
      </c>
      <c r="N55" s="25">
        <f>'Asset Returns'!N55-'Risk Factors'!$J55</f>
        <v>3.1145280227065086E-2</v>
      </c>
      <c r="O55" s="25"/>
      <c r="P55" s="421">
        <f>'Asset Returns'!P55</f>
        <v>41820</v>
      </c>
      <c r="Q55" s="25">
        <f>'Asset Returns'!Q55-'Risk Factors'!$J55</f>
        <v>-1.487476758175732E-3</v>
      </c>
      <c r="R55" s="25">
        <f>'Asset Returns'!R55-'Risk Factors'!$J55</f>
        <v>-9.9971166943397805E-3</v>
      </c>
      <c r="S55" s="260"/>
      <c r="T55" s="421">
        <f>'Asset Returns'!T55</f>
        <v>41820</v>
      </c>
      <c r="U55" s="25">
        <f>'Asset Returns'!U55-'Risk Factors'!$J55</f>
        <v>-2.8311999999999999E-3</v>
      </c>
      <c r="V55" s="25">
        <f>'Asset Returns'!V55-'Risk Factors'!$J55</f>
        <v>7.1148699999999995E-2</v>
      </c>
      <c r="W55" s="25">
        <f>'Asset Returns'!W55-'Risk Factors'!$J55</f>
        <v>1.3542160000000001E-2</v>
      </c>
      <c r="X55" s="25">
        <f>'Asset Returns'!X55-'Risk Factors'!$J55</f>
        <v>2.12039409189686E-2</v>
      </c>
      <c r="Y55" s="25">
        <f>'Asset Returns'!Y55-'Risk Factors'!$J55</f>
        <v>-0.10113989999999999</v>
      </c>
      <c r="Z55" s="25">
        <f>'Asset Returns'!Z55-'Risk Factors'!$J55</f>
        <v>0.1845907</v>
      </c>
      <c r="AA55" s="25">
        <f>'Asset Returns'!AA55-'Risk Factors'!$J55</f>
        <v>1.7592699999999999E-2</v>
      </c>
      <c r="AB55" s="25">
        <f>'Asset Returns'!AB55-'Risk Factors'!$J55</f>
        <v>1.1443499999999999E-3</v>
      </c>
      <c r="AC55" s="25">
        <f>'Asset Returns'!AC55-'Risk Factors'!$J55</f>
        <v>1.2818299999999999E-2</v>
      </c>
    </row>
    <row r="56" spans="5:29">
      <c r="E56" s="421">
        <f>'Asset Returns'!E56</f>
        <v>41851</v>
      </c>
      <c r="F56" s="25">
        <f>'Asset Returns'!F56-'Risk Factors'!$J56</f>
        <v>-0.11172685027122498</v>
      </c>
      <c r="G56" s="25">
        <f>'Asset Returns'!G56-'Risk Factors'!$J56</f>
        <v>-0.10383489727973938</v>
      </c>
      <c r="H56" s="25">
        <f>'Asset Returns'!H56-'Risk Factors'!$J56</f>
        <v>-7.1850575506687164E-2</v>
      </c>
      <c r="I56" s="25">
        <f>'Asset Returns'!I56-'Risk Factors'!$J56</f>
        <v>3.3863451331853867E-2</v>
      </c>
      <c r="J56" s="25">
        <f>'Asset Returns'!J56-'Risk Factors'!$J56</f>
        <v>-6.2950537540018559E-3</v>
      </c>
      <c r="K56" s="25">
        <f>'Asset Returns'!K56-'Risk Factors'!$J56</f>
        <v>-2.6752116158604622E-2</v>
      </c>
      <c r="L56" s="25">
        <f>'Asset Returns'!L56-'Risk Factors'!$J56</f>
        <v>-4.2980927973985672E-2</v>
      </c>
      <c r="M56" s="25">
        <f>'Asset Returns'!M56-'Risk Factors'!$J56</f>
        <v>5.7372972369194031E-2</v>
      </c>
      <c r="N56" s="25">
        <f>'Asset Returns'!N56-'Risk Factors'!$J56</f>
        <v>-4.3299559503793716E-2</v>
      </c>
      <c r="O56" s="25"/>
      <c r="P56" s="421">
        <f>'Asset Returns'!P56</f>
        <v>41851</v>
      </c>
      <c r="Q56" s="25">
        <f>'Asset Returns'!Q56-'Risk Factors'!$J56</f>
        <v>3.8228142046574654E-3</v>
      </c>
      <c r="R56" s="25">
        <f>'Asset Returns'!R56-'Risk Factors'!$J56</f>
        <v>9.5457124636575408E-3</v>
      </c>
      <c r="S56" s="260"/>
      <c r="T56" s="421">
        <f>'Asset Returns'!T56</f>
        <v>41851</v>
      </c>
      <c r="U56" s="25">
        <f>'Asset Returns'!U56-'Risk Factors'!$J56</f>
        <v>-1.68957E-2</v>
      </c>
      <c r="V56" s="25">
        <f>'Asset Returns'!V56-'Risk Factors'!$J56</f>
        <v>-4.91592E-2</v>
      </c>
      <c r="W56" s="25">
        <f>'Asset Returns'!W56-'Risk Factors'!$J56</f>
        <v>-2.058161E-2</v>
      </c>
      <c r="X56" s="25">
        <f>'Asset Returns'!X56-'Risk Factors'!$J56</f>
        <v>-3.3455601853863648E-2</v>
      </c>
      <c r="Y56" s="25">
        <f>'Asset Returns'!Y56-'Risk Factors'!$J56</f>
        <v>6.8267700000000001E-2</v>
      </c>
      <c r="Z56" s="25">
        <f>'Asset Returns'!Z56-'Risk Factors'!$J56</f>
        <v>-4.2005399999999998E-2</v>
      </c>
      <c r="AA56" s="25">
        <f>'Asset Returns'!AA56-'Risk Factors'!$J56</f>
        <v>-1.6139000000000001E-2</v>
      </c>
      <c r="AB56" s="25">
        <f>'Asset Returns'!AB56-'Risk Factors'!$J56</f>
        <v>-3.2297220000000001E-2</v>
      </c>
      <c r="AC56" s="25">
        <f>'Asset Returns'!AC56-'Risk Factors'!$J56</f>
        <v>-3.03065E-2</v>
      </c>
    </row>
    <row r="57" spans="5:29">
      <c r="E57" s="421">
        <f>'Asset Returns'!E57</f>
        <v>41882</v>
      </c>
      <c r="F57" s="25">
        <f>'Asset Returns'!F57-'Risk Factors'!$J57</f>
        <v>-3.823702409863472E-2</v>
      </c>
      <c r="G57" s="25">
        <f>'Asset Returns'!G57-'Risk Factors'!$J57</f>
        <v>-6.6883303225040436E-2</v>
      </c>
      <c r="H57" s="25">
        <f>'Asset Returns'!H57-'Risk Factors'!$J57</f>
        <v>-8.786344900727272E-3</v>
      </c>
      <c r="I57" s="25">
        <f>'Asset Returns'!I57-'Risk Factors'!$J57</f>
        <v>0.1722152978181839</v>
      </c>
      <c r="J57" s="25">
        <f>'Asset Returns'!J57-'Risk Factors'!$J57</f>
        <v>-4.3822601437568665E-2</v>
      </c>
      <c r="K57" s="25">
        <f>'Asset Returns'!K57-'Risk Factors'!$J57</f>
        <v>-1.0864174924790859E-2</v>
      </c>
      <c r="L57" s="25">
        <f>'Asset Returns'!L57-'Risk Factors'!$J57</f>
        <v>3.8268648087978363E-2</v>
      </c>
      <c r="M57" s="25">
        <f>'Asset Returns'!M57-'Risk Factors'!$J57</f>
        <v>9.2212790623307228E-3</v>
      </c>
      <c r="N57" s="25">
        <f>'Asset Returns'!N57-'Risk Factors'!$J57</f>
        <v>4.3403711169958115E-2</v>
      </c>
      <c r="O57" s="25"/>
      <c r="P57" s="421">
        <f>'Asset Returns'!P57</f>
        <v>41882</v>
      </c>
      <c r="Q57" s="25">
        <f>'Asset Returns'!Q57-'Risk Factors'!$J57</f>
        <v>2.9854980740482207E-2</v>
      </c>
      <c r="R57" s="25">
        <f>'Asset Returns'!R57-'Risk Factors'!$J57</f>
        <v>3.2370379212924405E-2</v>
      </c>
      <c r="S57" s="260"/>
      <c r="T57" s="421">
        <f>'Asset Returns'!T57</f>
        <v>41882</v>
      </c>
      <c r="U57" s="25">
        <f>'Asset Returns'!U57-'Risk Factors'!$J57</f>
        <v>-1.4654789999999999E-2</v>
      </c>
      <c r="V57" s="25">
        <f>'Asset Returns'!V57-'Risk Factors'!$J57</f>
        <v>4.7944899999999999E-2</v>
      </c>
      <c r="W57" s="25">
        <f>'Asset Returns'!W57-'Risk Factors'!$J57</f>
        <v>3.1148920000000004E-2</v>
      </c>
      <c r="X57" s="25">
        <f>'Asset Returns'!X57-'Risk Factors'!$J57</f>
        <v>2.1599284744381775E-2</v>
      </c>
      <c r="Y57" s="25">
        <f>'Asset Returns'!Y57-'Risk Factors'!$J57</f>
        <v>-5.4306599999999997E-2</v>
      </c>
      <c r="Z57" s="25">
        <f>'Asset Returns'!Z57-'Risk Factors'!$J57</f>
        <v>-1.13154E-2</v>
      </c>
      <c r="AA57" s="25">
        <f>'Asset Returns'!AA57-'Risk Factors'!$J57</f>
        <v>2.14909E-2</v>
      </c>
      <c r="AB57" s="25">
        <f>'Asset Returns'!AB57-'Risk Factors'!$J57</f>
        <v>2.0217849999999999E-2</v>
      </c>
      <c r="AC57" s="25">
        <f>'Asset Returns'!AC57-'Risk Factors'!$J57</f>
        <v>7.0701200000000006E-2</v>
      </c>
    </row>
    <row r="58" spans="5:29">
      <c r="E58" s="421">
        <f>'Asset Returns'!E58</f>
        <v>41912</v>
      </c>
      <c r="F58" s="25">
        <f>'Asset Returns'!F58-'Risk Factors'!$J58</f>
        <v>-1.9878651946783066E-2</v>
      </c>
      <c r="G58" s="25">
        <f>'Asset Returns'!G58-'Risk Factors'!$J58</f>
        <v>-7.317158579826355E-2</v>
      </c>
      <c r="H58" s="25">
        <f>'Asset Returns'!H58-'Risk Factors'!$J58</f>
        <v>-8.0999501049518585E-2</v>
      </c>
      <c r="I58" s="25">
        <f>'Asset Returns'!I58-'Risk Factors'!$J58</f>
        <v>-6.0338854789733887E-2</v>
      </c>
      <c r="J58" s="25">
        <f>'Asset Returns'!J58-'Risk Factors'!$J58</f>
        <v>4.4508989900350571E-2</v>
      </c>
      <c r="K58" s="25">
        <f>'Asset Returns'!K58-'Risk Factors'!$J58</f>
        <v>4.4859163463115692E-2</v>
      </c>
      <c r="L58" s="25">
        <f>'Asset Returns'!L58-'Risk Factors'!$J58</f>
        <v>-3.7691239267587662E-2</v>
      </c>
      <c r="M58" s="25">
        <f>'Asset Returns'!M58-'Risk Factors'!$J58</f>
        <v>-1.2844518758356571E-2</v>
      </c>
      <c r="N58" s="25">
        <f>'Asset Returns'!N58-'Risk Factors'!$J58</f>
        <v>2.7571579441428185E-2</v>
      </c>
      <c r="O58" s="25"/>
      <c r="P58" s="421">
        <f>'Asset Returns'!P58</f>
        <v>41912</v>
      </c>
      <c r="Q58" s="25">
        <f>'Asset Returns'!Q58-'Risk Factors'!$J58</f>
        <v>-1.0086989690503145E-2</v>
      </c>
      <c r="R58" s="25">
        <f>'Asset Returns'!R58-'Risk Factors'!$J58</f>
        <v>-1.034901424193968E-2</v>
      </c>
      <c r="S58" s="260"/>
      <c r="T58" s="421">
        <f>'Asset Returns'!T58</f>
        <v>41912</v>
      </c>
      <c r="U58" s="25">
        <f>'Asset Returns'!U58-'Risk Factors'!$J58</f>
        <v>-3.4813839999999999E-2</v>
      </c>
      <c r="V58" s="25">
        <f>'Asset Returns'!V58-'Risk Factors'!$J58</f>
        <v>-8.1838800000000003E-2</v>
      </c>
      <c r="W58" s="25">
        <f>'Asset Returns'!W58-'Risk Factors'!$J58</f>
        <v>-2.8050549999999997E-2</v>
      </c>
      <c r="X58" s="25">
        <f>'Asset Returns'!X58-'Risk Factors'!$J58</f>
        <v>-3.2314517595443237E-2</v>
      </c>
      <c r="Y58" s="25">
        <f>'Asset Returns'!Y58-'Risk Factors'!$J58</f>
        <v>0.1666667</v>
      </c>
      <c r="Z58" s="25">
        <f>'Asset Returns'!Z58-'Risk Factors'!$J58</f>
        <v>-0.17453510000000003</v>
      </c>
      <c r="AA58" s="25">
        <f>'Asset Returns'!AA58-'Risk Factors'!$J58</f>
        <v>-2.6777799999999997E-2</v>
      </c>
      <c r="AB58" s="25">
        <f>'Asset Returns'!AB58-'Risk Factors'!$J58</f>
        <v>-2.1164700000000002E-2</v>
      </c>
      <c r="AC58" s="25">
        <f>'Asset Returns'!AC58-'Risk Factors'!$J58</f>
        <v>-8.3087000000000005E-3</v>
      </c>
    </row>
    <row r="59" spans="5:29">
      <c r="E59" s="421">
        <f>'Asset Returns'!E59</f>
        <v>41943</v>
      </c>
      <c r="F59" s="25">
        <f>'Asset Returns'!F59-'Risk Factors'!$J59</f>
        <v>-5.5721618235111237E-2</v>
      </c>
      <c r="G59" s="25">
        <f>'Asset Returns'!G59-'Risk Factors'!$J59</f>
        <v>-0.14414551854133606</v>
      </c>
      <c r="H59" s="25">
        <f>'Asset Returns'!H59-'Risk Factors'!$J59</f>
        <v>-2.2819487378001213E-2</v>
      </c>
      <c r="I59" s="25">
        <f>'Asset Returns'!I59-'Risk Factors'!$J59</f>
        <v>7.3368139564990997E-2</v>
      </c>
      <c r="J59" s="25">
        <f>'Asset Returns'!J59-'Risk Factors'!$J59</f>
        <v>-1.6200173646211624E-2</v>
      </c>
      <c r="K59" s="25">
        <f>'Asset Returns'!K59-'Risk Factors'!$J59</f>
        <v>-0.12498092651367188</v>
      </c>
      <c r="L59" s="25">
        <f>'Asset Returns'!L59-'Risk Factors'!$J59</f>
        <v>1.3441248796880245E-2</v>
      </c>
      <c r="M59" s="25">
        <f>'Asset Returns'!M59-'Risk Factors'!$J59</f>
        <v>-0.13396196067333221</v>
      </c>
      <c r="N59" s="25">
        <f>'Asset Returns'!N59-'Risk Factors'!$J59</f>
        <v>1.1164274998009205E-2</v>
      </c>
      <c r="O59" s="25"/>
      <c r="P59" s="421">
        <f>'Asset Returns'!P59</f>
        <v>41943</v>
      </c>
      <c r="Q59" s="25">
        <f>'Asset Returns'!Q59-'Risk Factors'!$J59</f>
        <v>1.7910596865288619E-2</v>
      </c>
      <c r="R59" s="25">
        <f>'Asset Returns'!R59-'Risk Factors'!$J59</f>
        <v>1.286707431064027E-2</v>
      </c>
      <c r="S59" s="260"/>
      <c r="T59" s="421">
        <f>'Asset Returns'!T59</f>
        <v>41943</v>
      </c>
      <c r="U59" s="25">
        <f>'Asset Returns'!U59-'Risk Factors'!$J59</f>
        <v>-3.5913140000000003E-2</v>
      </c>
      <c r="V59" s="25">
        <f>'Asset Returns'!V59-'Risk Factors'!$J59</f>
        <v>-3.5441300000000002E-2</v>
      </c>
      <c r="W59" s="25">
        <f>'Asset Returns'!W59-'Risk Factors'!$J59</f>
        <v>2.768632E-2</v>
      </c>
      <c r="X59" s="25">
        <f>'Asset Returns'!X59-'Risk Factors'!$J59</f>
        <v>1.1484558245793641E-2</v>
      </c>
      <c r="Y59" s="25">
        <f>'Asset Returns'!Y59-'Risk Factors'!$J59</f>
        <v>5.4029299999999995E-2</v>
      </c>
      <c r="Z59" s="25">
        <f>'Asset Returns'!Z59-'Risk Factors'!$J59</f>
        <v>-0.17850950000000002</v>
      </c>
      <c r="AA59" s="25">
        <f>'Asset Returns'!AA59-'Risk Factors'!$J59</f>
        <v>6.0746000000000003E-3</v>
      </c>
      <c r="AB59" s="25">
        <f>'Asset Returns'!AB59-'Risk Factors'!$J59</f>
        <v>1.7619999999999999E-3</v>
      </c>
      <c r="AC59" s="25">
        <f>'Asset Returns'!AC59-'Risk Factors'!$J59</f>
        <v>3.7647400000000004E-2</v>
      </c>
    </row>
    <row r="60" spans="5:29">
      <c r="E60" s="421">
        <f>'Asset Returns'!E60</f>
        <v>41973</v>
      </c>
      <c r="F60" s="25">
        <f>'Asset Returns'!F60-'Risk Factors'!$J60</f>
        <v>-0.12276735901832581</v>
      </c>
      <c r="G60" s="25">
        <f>'Asset Returns'!G60-'Risk Factors'!$J60</f>
        <v>0.10347867012023926</v>
      </c>
      <c r="H60" s="25">
        <f>'Asset Returns'!H60-'Risk Factors'!$J60</f>
        <v>-7.0511765778064728E-2</v>
      </c>
      <c r="I60" s="25">
        <f>'Asset Returns'!I60-'Risk Factors'!$J60</f>
        <v>-1.4894863590598106E-2</v>
      </c>
      <c r="J60" s="25">
        <f>'Asset Returns'!J60-'Risk Factors'!$J60</f>
        <v>6.3172824680805206E-2</v>
      </c>
      <c r="K60" s="25">
        <f>'Asset Returns'!K60-'Risk Factors'!$J60</f>
        <v>8.2729943096637726E-2</v>
      </c>
      <c r="L60" s="25">
        <f>'Asset Returns'!L60-'Risk Factors'!$J60</f>
        <v>5.07701076567173E-2</v>
      </c>
      <c r="M60" s="25">
        <f>'Asset Returns'!M60-'Risk Factors'!$J60</f>
        <v>-6.844058632850647E-3</v>
      </c>
      <c r="N60" s="25">
        <f>'Asset Returns'!N60-'Risk Factors'!$J60</f>
        <v>1.0878929868340492E-2</v>
      </c>
      <c r="O60" s="25"/>
      <c r="P60" s="421">
        <f>'Asset Returns'!P60</f>
        <v>41973</v>
      </c>
      <c r="Q60" s="25">
        <f>'Asset Returns'!Q60-'Risk Factors'!$J60</f>
        <v>1.539426780838471E-2</v>
      </c>
      <c r="R60" s="25">
        <f>'Asset Returns'!R60-'Risk Factors'!$J60</f>
        <v>1.6774733118321894E-2</v>
      </c>
      <c r="S60" s="260"/>
      <c r="T60" s="421">
        <f>'Asset Returns'!T60</f>
        <v>41973</v>
      </c>
      <c r="U60" s="25">
        <f>'Asset Returns'!U60-'Risk Factors'!$J60</f>
        <v>4.3624379999999997E-2</v>
      </c>
      <c r="V60" s="25">
        <f>'Asset Returns'!V60-'Risk Factors'!$J60</f>
        <v>-1.54793E-2</v>
      </c>
      <c r="W60" s="25">
        <f>'Asset Returns'!W60-'Risk Factors'!$J60</f>
        <v>3.7357889999999998E-2</v>
      </c>
      <c r="X60" s="25">
        <f>'Asset Returns'!X60-'Risk Factors'!$J60</f>
        <v>4.1473215634991512E-2</v>
      </c>
      <c r="Y60" s="25">
        <f>'Asset Returns'!Y60-'Risk Factors'!$J60</f>
        <v>0.1880973</v>
      </c>
      <c r="Z60" s="25">
        <f>'Asset Returns'!Z60-'Risk Factors'!$J60</f>
        <v>4.2193999999999999E-3</v>
      </c>
      <c r="AA60" s="25">
        <f>'Asset Returns'!AA60-'Risk Factors'!$J60</f>
        <v>2.0522300000000004E-2</v>
      </c>
      <c r="AB60" s="25">
        <f>'Asset Returns'!AB60-'Risk Factors'!$J60</f>
        <v>3.1545919999999998E-2</v>
      </c>
      <c r="AC60" s="25">
        <f>'Asset Returns'!AC60-'Risk Factors'!$J60</f>
        <v>5.6292200000000001E-2</v>
      </c>
    </row>
    <row r="61" spans="5:29">
      <c r="E61" s="422">
        <f>'Asset Returns'!E61</f>
        <v>42004</v>
      </c>
      <c r="F61" s="25">
        <f>'Asset Returns'!F61-'Risk Factors'!$J61</f>
        <v>-0.2479381263256073</v>
      </c>
      <c r="G61" s="25">
        <f>'Asset Returns'!G61-'Risk Factors'!$J61</f>
        <v>-3.2266385387629271E-3</v>
      </c>
      <c r="H61" s="25">
        <f>'Asset Returns'!H61-'Risk Factors'!$J61</f>
        <v>-2.6134183630347252E-2</v>
      </c>
      <c r="I61" s="25">
        <f>'Asset Returns'!I61-'Risk Factors'!$J61</f>
        <v>-8.6842276155948639E-2</v>
      </c>
      <c r="J61" s="25">
        <f>'Asset Returns'!J61-'Risk Factors'!$J61</f>
        <v>2.2932499647140503E-2</v>
      </c>
      <c r="K61" s="25">
        <f>'Asset Returns'!K61-'Risk Factors'!$J61</f>
        <v>-3.3557809889316559E-2</v>
      </c>
      <c r="L61" s="25">
        <f>'Asset Returns'!L61-'Risk Factors'!$J61</f>
        <v>-1.330076064914465E-2</v>
      </c>
      <c r="M61" s="25">
        <f>'Asset Returns'!M61-'Risk Factors'!$J61</f>
        <v>-1.0667819529771805E-2</v>
      </c>
      <c r="N61" s="25">
        <f>'Asset Returns'!N61-'Risk Factors'!$J61</f>
        <v>-3.3995382487773895E-2</v>
      </c>
      <c r="O61" s="25"/>
      <c r="P61" s="422">
        <f>'Asset Returns'!P61</f>
        <v>42004</v>
      </c>
      <c r="Q61" s="25">
        <f>'Asset Returns'!Q61-'Risk Factors'!$J61</f>
        <v>6.5552153486621023E-3</v>
      </c>
      <c r="R61" s="25">
        <f>'Asset Returns'!R61-'Risk Factors'!$J61</f>
        <v>2.1783011331136803E-2</v>
      </c>
      <c r="S61" s="260"/>
      <c r="T61" s="422">
        <f>'Asset Returns'!T61</f>
        <v>42004</v>
      </c>
      <c r="U61" s="25">
        <f>'Asset Returns'!U61-'Risk Factors'!$J61</f>
        <v>-5.1853569999999995E-2</v>
      </c>
      <c r="V61" s="25">
        <f>'Asset Returns'!V61-'Risk Factors'!$J61</f>
        <v>-3.8014699999999998E-2</v>
      </c>
      <c r="W61" s="25">
        <f>'Asset Returns'!W61-'Risk Factors'!$J61</f>
        <v>-7.1222200000000003E-3</v>
      </c>
      <c r="X61" s="25">
        <f>'Asset Returns'!X61-'Risk Factors'!$J61</f>
        <v>-1.5223062053644099E-2</v>
      </c>
      <c r="Y61" s="25">
        <f>'Asset Returns'!Y61-'Risk Factors'!$J61</f>
        <v>-2.3948800000000003E-2</v>
      </c>
      <c r="Z61" s="25">
        <f>'Asset Returns'!Z61-'Risk Factors'!$J61</f>
        <v>-2.1007999999999999E-3</v>
      </c>
      <c r="AA61" s="25">
        <f>'Asset Returns'!AA61-'Risk Factors'!$J61</f>
        <v>-1.6465799999999999E-2</v>
      </c>
      <c r="AB61" s="25">
        <f>'Asset Returns'!AB61-'Risk Factors'!$J61</f>
        <v>-1.6361489999999999E-2</v>
      </c>
      <c r="AC61" s="25">
        <f>'Asset Returns'!AC61-'Risk Factors'!$J61</f>
        <v>-1.596E-3</v>
      </c>
    </row>
    <row r="62" spans="5:29">
      <c r="E62" s="421">
        <f>'Asset Returns'!E62</f>
        <v>42035</v>
      </c>
      <c r="F62" s="25">
        <f>'Asset Returns'!F62-'Risk Factors'!$J62</f>
        <v>-5.8259107172489166E-2</v>
      </c>
      <c r="G62" s="25">
        <f>'Asset Returns'!G62-'Risk Factors'!$J62</f>
        <v>6.4614631235599518E-2</v>
      </c>
      <c r="H62" s="25">
        <f>'Asset Returns'!H62-'Risk Factors'!$J62</f>
        <v>-5.2603268995881081E-3</v>
      </c>
      <c r="I62" s="25">
        <f>'Asset Returns'!I62-'Risk Factors'!$J62</f>
        <v>0.20344924926757813</v>
      </c>
      <c r="J62" s="25">
        <f>'Asset Returns'!J62-'Risk Factors'!$J62</f>
        <v>3.2437883317470551E-2</v>
      </c>
      <c r="K62" s="25">
        <f>'Asset Returns'!K62-'Risk Factors'!$J62</f>
        <v>-5.2183162420988083E-2</v>
      </c>
      <c r="L62" s="25">
        <f>'Asset Returns'!L62-'Risk Factors'!$J62</f>
        <v>-3.5350754857063293E-2</v>
      </c>
      <c r="M62" s="25">
        <f>'Asset Returns'!M62-'Risk Factors'!$J62</f>
        <v>-4.4440284371376038E-2</v>
      </c>
      <c r="N62" s="25">
        <f>'Asset Returns'!N62-'Risk Factors'!$J62</f>
        <v>-4.2363967746496201E-2</v>
      </c>
      <c r="O62" s="25"/>
      <c r="P62" s="421">
        <f>'Asset Returns'!P62</f>
        <v>42035</v>
      </c>
      <c r="Q62" s="25">
        <f>'Asset Returns'!Q62-'Risk Factors'!$J62</f>
        <v>4.4990946253669506E-2</v>
      </c>
      <c r="R62" s="25">
        <f>'Asset Returns'!R62-'Risk Factors'!$J62</f>
        <v>7.132579840757991E-2</v>
      </c>
      <c r="S62" s="260"/>
      <c r="T62" s="421">
        <f>'Asset Returns'!T62</f>
        <v>42035</v>
      </c>
      <c r="U62" s="25">
        <f>'Asset Returns'!U62-'Risk Factors'!$J62</f>
        <v>-1.47809E-3</v>
      </c>
      <c r="V62" s="25">
        <f>'Asset Returns'!V62-'Risk Factors'!$J62</f>
        <v>2.4963600000000002E-2</v>
      </c>
      <c r="W62" s="25">
        <f>'Asset Returns'!W62-'Risk Factors'!$J62</f>
        <v>-3.7341499999999999E-3</v>
      </c>
      <c r="X62" s="25">
        <f>'Asset Returns'!X62-'Risk Factors'!$J62</f>
        <v>-1.7319949110795596E-2</v>
      </c>
      <c r="Y62" s="25">
        <f>'Asset Returns'!Y62-'Risk Factors'!$J62</f>
        <v>7.8291799999999995E-2</v>
      </c>
      <c r="Z62" s="25">
        <f>'Asset Returns'!Z62-'Risk Factors'!$J62</f>
        <v>7.1578900000000001E-2</v>
      </c>
      <c r="AA62" s="25">
        <f>'Asset Returns'!AA62-'Risk Factors'!$J62</f>
        <v>-1.8390200000000002E-2</v>
      </c>
      <c r="AB62" s="25">
        <f>'Asset Returns'!AB62-'Risk Factors'!$J62</f>
        <v>-1.6290840000000001E-2</v>
      </c>
      <c r="AC62" s="25">
        <f>'Asset Returns'!AC62-'Risk Factors'!$J62</f>
        <v>-7.4689199999999997E-2</v>
      </c>
    </row>
    <row r="63" spans="5:29">
      <c r="E63" s="421">
        <f>'Asset Returns'!E63</f>
        <v>42063</v>
      </c>
      <c r="F63" s="25">
        <f>'Asset Returns'!F63-'Risk Factors'!$J63</f>
        <v>0.20960706472396851</v>
      </c>
      <c r="G63" s="25">
        <f>'Asset Returns'!G63-'Risk Factors'!$J63</f>
        <v>7.8265644609928131E-2</v>
      </c>
      <c r="H63" s="25">
        <f>'Asset Returns'!H63-'Risk Factors'!$J63</f>
        <v>0.1024782806634903</v>
      </c>
      <c r="I63" s="25">
        <f>'Asset Returns'!I63-'Risk Factors'!$J63</f>
        <v>-1.5022198669612408E-2</v>
      </c>
      <c r="J63" s="25">
        <f>'Asset Returns'!J63-'Risk Factors'!$J63</f>
        <v>3.6323152482509613E-2</v>
      </c>
      <c r="K63" s="25">
        <f>'Asset Returns'!K63-'Risk Factors'!$J63</f>
        <v>8.4080547094345093E-2</v>
      </c>
      <c r="L63" s="25">
        <f>'Asset Returns'!L63-'Risk Factors'!$J63</f>
        <v>0.12790532410144806</v>
      </c>
      <c r="M63" s="25">
        <f>'Asset Returns'!M63-'Risk Factors'!$J63</f>
        <v>6.3705168664455414E-2</v>
      </c>
      <c r="N63" s="25">
        <f>'Asset Returns'!N63-'Risk Factors'!$J63</f>
        <v>3.0813952907919884E-2</v>
      </c>
      <c r="O63" s="25"/>
      <c r="P63" s="421">
        <f>'Asset Returns'!P63</f>
        <v>42063</v>
      </c>
      <c r="Q63" s="25">
        <f>'Asset Returns'!Q63-'Risk Factors'!$J63</f>
        <v>-2.3133395249925415E-2</v>
      </c>
      <c r="R63" s="25">
        <f>'Asset Returns'!R63-'Risk Factors'!$J63</f>
        <v>-4.1487092232883938E-2</v>
      </c>
      <c r="S63" s="260"/>
      <c r="T63" s="421">
        <f>'Asset Returns'!T63</f>
        <v>42063</v>
      </c>
      <c r="U63" s="25">
        <f>'Asset Returns'!U63-'Risk Factors'!$J63</f>
        <v>5.7304859999999999E-2</v>
      </c>
      <c r="V63" s="25">
        <f>'Asset Returns'!V63-'Risk Factors'!$J63</f>
        <v>9.4390699999999994E-2</v>
      </c>
      <c r="W63" s="25">
        <f>'Asset Returns'!W63-'Risk Factors'!$J63</f>
        <v>4.861422E-2</v>
      </c>
      <c r="X63" s="25">
        <f>'Asset Returns'!X63-'Risk Factors'!$J63</f>
        <v>7.9232427357787349E-2</v>
      </c>
      <c r="Y63" s="25">
        <f>'Asset Returns'!Y63-'Risk Factors'!$J63</f>
        <v>-9.7794000000000006E-2</v>
      </c>
      <c r="Z63" s="25">
        <f>'Asset Returns'!Z63-'Risk Factors'!$J63</f>
        <v>-3.1434199999999995E-2</v>
      </c>
      <c r="AA63" s="25">
        <f>'Asset Returns'!AA63-'Risk Factors'!$J63</f>
        <v>5.8359699999999994E-2</v>
      </c>
      <c r="AB63" s="25">
        <f>'Asset Returns'!AB63-'Risk Factors'!$J63</f>
        <v>5.3074589999999998E-2</v>
      </c>
      <c r="AC63" s="25">
        <f>'Asset Returns'!AC63-'Risk Factors'!$J63</f>
        <v>0.12131679999999999</v>
      </c>
    </row>
    <row r="64" spans="5:29">
      <c r="E64" s="421">
        <f>'Asset Returns'!E64</f>
        <v>42094</v>
      </c>
      <c r="F64" s="25">
        <f>'Asset Returns'!F64-'Risk Factors'!$J64</f>
        <v>-3.4296125173568726E-2</v>
      </c>
      <c r="G64" s="25">
        <f>'Asset Returns'!G64-'Risk Factors'!$J64</f>
        <v>-7.1604475378990173E-3</v>
      </c>
      <c r="H64" s="25">
        <f>'Asset Returns'!H64-'Risk Factors'!$J64</f>
        <v>-6.3746899366378784E-2</v>
      </c>
      <c r="I64" s="25">
        <f>'Asset Returns'!I64-'Risk Factors'!$J64</f>
        <v>-5.5246051400899887E-2</v>
      </c>
      <c r="J64" s="25">
        <f>'Asset Returns'!J64-'Risk Factors'!$J64</f>
        <v>5.1668319851160049E-2</v>
      </c>
      <c r="K64" s="25">
        <f>'Asset Returns'!K64-'Risk Factors'!$J64</f>
        <v>-5.4827399551868439E-2</v>
      </c>
      <c r="L64" s="25">
        <f>'Asset Returns'!L64-'Risk Factors'!$J64</f>
        <v>-6.5233878791332245E-2</v>
      </c>
      <c r="M64" s="25">
        <f>'Asset Returns'!M64-'Risk Factors'!$J64</f>
        <v>-8.8921841233968735E-3</v>
      </c>
      <c r="N64" s="25">
        <f>'Asset Returns'!N64-'Risk Factors'!$J64</f>
        <v>-1.8632328137755394E-2</v>
      </c>
      <c r="O64" s="25"/>
      <c r="P64" s="421">
        <f>'Asset Returns'!P64</f>
        <v>42094</v>
      </c>
      <c r="Q64" s="25">
        <f>'Asset Returns'!Q64-'Risk Factors'!$J64</f>
        <v>8.3383166141464127E-3</v>
      </c>
      <c r="R64" s="25">
        <f>'Asset Returns'!R64-'Risk Factors'!$J64</f>
        <v>-1.2506814321563975E-2</v>
      </c>
      <c r="S64" s="260"/>
      <c r="T64" s="421">
        <f>'Asset Returns'!T64</f>
        <v>42094</v>
      </c>
      <c r="U64" s="25">
        <f>'Asset Returns'!U64-'Risk Factors'!$J64</f>
        <v>-1.333237E-2</v>
      </c>
      <c r="V64" s="25">
        <f>'Asset Returns'!V64-'Risk Factors'!$J64</f>
        <v>8.4590599999999988E-2</v>
      </c>
      <c r="W64" s="25">
        <f>'Asset Returns'!W64-'Risk Factors'!$J64</f>
        <v>-9.3891400000000007E-3</v>
      </c>
      <c r="X64" s="25">
        <f>'Asset Returns'!X64-'Risk Factors'!$J64</f>
        <v>-5.4340867227203882E-3</v>
      </c>
      <c r="Y64" s="25">
        <f>'Asset Returns'!Y64-'Risk Factors'!$J64</f>
        <v>2.7339199999999998E-2</v>
      </c>
      <c r="Z64" s="25">
        <f>'Asset Returns'!Z64-'Risk Factors'!$J64</f>
        <v>-0.10141989999999999</v>
      </c>
      <c r="AA64" s="25">
        <f>'Asset Returns'!AA64-'Risk Factors'!$J64</f>
        <v>-1.5921100000000001E-2</v>
      </c>
      <c r="AB64" s="25">
        <f>'Asset Returns'!AB64-'Risk Factors'!$J64</f>
        <v>-1.070371E-2</v>
      </c>
      <c r="AC64" s="25">
        <f>'Asset Returns'!AC64-'Risk Factors'!$J64</f>
        <v>-4.0657399999999996E-2</v>
      </c>
    </row>
    <row r="65" spans="5:29">
      <c r="E65" s="421">
        <f>'Asset Returns'!E65</f>
        <v>42124</v>
      </c>
      <c r="F65" s="25">
        <f>'Asset Returns'!F65-'Risk Factors'!$J65</f>
        <v>0.2451714426279068</v>
      </c>
      <c r="G65" s="25">
        <f>'Asset Returns'!G65-'Risk Factors'!$J65</f>
        <v>9.9586963653564453E-2</v>
      </c>
      <c r="H65" s="25">
        <f>'Asset Returns'!H65-'Risk Factors'!$J65</f>
        <v>0.11438260227441788</v>
      </c>
      <c r="I65" s="25">
        <f>'Asset Returns'!I65-'Risk Factors'!$J65</f>
        <v>-8.0062888562679291E-2</v>
      </c>
      <c r="J65" s="25">
        <f>'Asset Returns'!J65-'Risk Factors'!$J65</f>
        <v>-8.5619848687201738E-4</v>
      </c>
      <c r="K65" s="25">
        <f>'Asset Returns'!K65-'Risk Factors'!$J65</f>
        <v>1.2940781190991402E-2</v>
      </c>
      <c r="L65" s="25">
        <f>'Asset Returns'!L65-'Risk Factors'!$J65</f>
        <v>2.8671896085143089E-2</v>
      </c>
      <c r="M65" s="25">
        <f>'Asset Returns'!M65-'Risk Factors'!$J65</f>
        <v>6.7227408289909363E-2</v>
      </c>
      <c r="N65" s="25">
        <f>'Asset Returns'!N65-'Risk Factors'!$J65</f>
        <v>-1.39164999127388E-2</v>
      </c>
      <c r="O65" s="25"/>
      <c r="P65" s="421">
        <f>'Asset Returns'!P65</f>
        <v>42124</v>
      </c>
      <c r="Q65" s="25">
        <f>'Asset Returns'!Q65-'Risk Factors'!$J65</f>
        <v>-5.4040727117650178E-3</v>
      </c>
      <c r="R65" s="25">
        <f>'Asset Returns'!R65-'Risk Factors'!$J65</f>
        <v>-1.7889161111947494E-2</v>
      </c>
      <c r="S65" s="260"/>
      <c r="T65" s="421">
        <f>'Asset Returns'!T65</f>
        <v>42124</v>
      </c>
      <c r="U65" s="25">
        <f>'Asset Returns'!U65-'Risk Factors'!$J65</f>
        <v>3.6649569999999999E-2</v>
      </c>
      <c r="V65" s="25">
        <f>'Asset Returns'!V65-'Risk Factors'!$J65</f>
        <v>5.4501400000000005E-2</v>
      </c>
      <c r="W65" s="25">
        <f>'Asset Returns'!W65-'Risk Factors'!$J65</f>
        <v>2.3359359999999999E-2</v>
      </c>
      <c r="X65" s="25">
        <f>'Asset Returns'!X65-'Risk Factors'!$J65</f>
        <v>2.1034738335800718E-2</v>
      </c>
      <c r="Y65" s="25">
        <f>'Asset Returns'!Y65-'Risk Factors'!$J65</f>
        <v>-0.1330585</v>
      </c>
      <c r="Z65" s="25">
        <f>'Asset Returns'!Z65-'Risk Factors'!$J65</f>
        <v>9.7065499999999999E-2</v>
      </c>
      <c r="AA65" s="25">
        <f>'Asset Returns'!AA65-'Risk Factors'!$J65</f>
        <v>2.3283900000000003E-2</v>
      </c>
      <c r="AB65" s="25">
        <f>'Asset Returns'!AB65-'Risk Factors'!$J65</f>
        <v>1.8624780000000001E-2</v>
      </c>
      <c r="AC65" s="25">
        <f>'Asset Returns'!AC65-'Risk Factors'!$J65</f>
        <v>6.3348000000000007E-3</v>
      </c>
    </row>
    <row r="66" spans="5:29">
      <c r="E66" s="421">
        <f>'Asset Returns'!E66</f>
        <v>42155</v>
      </c>
      <c r="F66" s="25">
        <f>'Asset Returns'!F66-'Risk Factors'!$J66</f>
        <v>-0.11158375442028046</v>
      </c>
      <c r="G66" s="25">
        <f>'Asset Returns'!G66-'Risk Factors'!$J66</f>
        <v>0.11984679847955704</v>
      </c>
      <c r="H66" s="25">
        <f>'Asset Returns'!H66-'Risk Factors'!$J66</f>
        <v>-3.4306231886148453E-2</v>
      </c>
      <c r="I66" s="25">
        <f>'Asset Returns'!I66-'Risk Factors'!$J66</f>
        <v>-5.7548318058252335E-2</v>
      </c>
      <c r="J66" s="25">
        <f>'Asset Returns'!J66-'Risk Factors'!$J66</f>
        <v>-7.2779450565576553E-3</v>
      </c>
      <c r="K66" s="25">
        <f>'Asset Returns'!K66-'Risk Factors'!$J66</f>
        <v>-2.3368952795863152E-2</v>
      </c>
      <c r="L66" s="25">
        <f>'Asset Returns'!L66-'Risk Factors'!$J66</f>
        <v>3.983696922659874E-2</v>
      </c>
      <c r="M66" s="25">
        <f>'Asset Returns'!M66-'Risk Factors'!$J66</f>
        <v>-2.0027831196784973E-3</v>
      </c>
      <c r="N66" s="25">
        <f>'Asset Returns'!N66-'Risk Factors'!$J66</f>
        <v>1.6867984086275101E-2</v>
      </c>
      <c r="O66" s="25"/>
      <c r="P66" s="421">
        <f>'Asset Returns'!P66</f>
        <v>42155</v>
      </c>
      <c r="Q66" s="25">
        <f>'Asset Returns'!Q66-'Risk Factors'!$J66</f>
        <v>-1.116835610105793E-2</v>
      </c>
      <c r="R66" s="25">
        <f>'Asset Returns'!R66-'Risk Factors'!$J66</f>
        <v>-1.479127760589416E-2</v>
      </c>
      <c r="S66" s="260"/>
      <c r="T66" s="421">
        <f>'Asset Returns'!T66</f>
        <v>42155</v>
      </c>
      <c r="U66" s="25">
        <f>'Asset Returns'!U66-'Risk Factors'!$J66</f>
        <v>5.0107800000000003E-3</v>
      </c>
      <c r="V66" s="25">
        <f>'Asset Returns'!V66-'Risk Factors'!$J66</f>
        <v>-4.15045E-2</v>
      </c>
      <c r="W66" s="25">
        <f>'Asset Returns'!W66-'Risk Factors'!$J66</f>
        <v>3.5586400000000001E-3</v>
      </c>
      <c r="X66" s="25">
        <f>'Asset Returns'!X66-'Risk Factors'!$J66</f>
        <v>1.8011476124330406E-2</v>
      </c>
      <c r="Y66" s="25">
        <f>'Asset Returns'!Y66-'Risk Factors'!$J66</f>
        <v>0.10138350000000002</v>
      </c>
      <c r="Z66" s="25">
        <f>'Asset Returns'!Z66-'Risk Factors'!$J66</f>
        <v>-2.05761E-2</v>
      </c>
      <c r="AA66" s="25">
        <f>'Asset Returns'!AA66-'Risk Factors'!$J66</f>
        <v>3.3911000000000002E-3</v>
      </c>
      <c r="AB66" s="25">
        <f>'Asset Returns'!AB66-'Risk Factors'!$J66</f>
        <v>-6.1946599999999994E-3</v>
      </c>
      <c r="AC66" s="25">
        <f>'Asset Returns'!AC66-'Risk Factors'!$J66</f>
        <v>2.4027E-2</v>
      </c>
    </row>
    <row r="67" spans="5:29">
      <c r="E67" s="421">
        <f>'Asset Returns'!E67</f>
        <v>42185</v>
      </c>
      <c r="F67" s="25">
        <f>'Asset Returns'!F67-'Risk Factors'!$J67</f>
        <v>-9.5747727900743484E-3</v>
      </c>
      <c r="G67" s="25">
        <f>'Asset Returns'!G67-'Risk Factors'!$J67</f>
        <v>-2.1172141656279564E-2</v>
      </c>
      <c r="H67" s="25">
        <f>'Asset Returns'!H67-'Risk Factors'!$J67</f>
        <v>-3.9330486208200455E-2</v>
      </c>
      <c r="I67" s="25">
        <f>'Asset Returns'!I67-'Risk Factors'!$J67</f>
        <v>-9.5982633531093597E-2</v>
      </c>
      <c r="J67" s="25">
        <f>'Asset Returns'!J67-'Risk Factors'!$J67</f>
        <v>-3.3123351633548737E-2</v>
      </c>
      <c r="K67" s="25">
        <f>'Asset Returns'!K67-'Risk Factors'!$J67</f>
        <v>-6.5038077533245087E-2</v>
      </c>
      <c r="L67" s="25">
        <f>'Asset Returns'!L67-'Risk Factors'!$J67</f>
        <v>2.4276141077280045E-2</v>
      </c>
      <c r="M67" s="25">
        <f>'Asset Returns'!M67-'Risk Factors'!$J67</f>
        <v>-4.1202481836080551E-2</v>
      </c>
      <c r="N67" s="25">
        <f>'Asset Returns'!N67-'Risk Factors'!$J67</f>
        <v>-2.6762532070279121E-2</v>
      </c>
      <c r="O67" s="25"/>
      <c r="P67" s="421">
        <f>'Asset Returns'!P67</f>
        <v>42185</v>
      </c>
      <c r="Q67" s="25">
        <f>'Asset Returns'!Q67-'Risk Factors'!$J67</f>
        <v>-1.7991923790939945E-2</v>
      </c>
      <c r="R67" s="25">
        <f>'Asset Returns'!R67-'Risk Factors'!$J67</f>
        <v>-2.9375984307660308E-2</v>
      </c>
      <c r="S67" s="260"/>
      <c r="T67" s="421">
        <f>'Asset Returns'!T67</f>
        <v>42185</v>
      </c>
      <c r="U67" s="25">
        <f>'Asset Returns'!U67-'Risk Factors'!$J67</f>
        <v>-3.2105009999999996E-2</v>
      </c>
      <c r="V67" s="25">
        <f>'Asset Returns'!V67-'Risk Factors'!$J67</f>
        <v>-5.8520899999999994E-2</v>
      </c>
      <c r="W67" s="25">
        <f>'Asset Returns'!W67-'Risk Factors'!$J67</f>
        <v>-2.0234640000000002E-2</v>
      </c>
      <c r="X67" s="25">
        <f>'Asset Returns'!X67-'Risk Factors'!$J67</f>
        <v>-1.4779441824306239E-2</v>
      </c>
      <c r="Y67" s="25">
        <f>'Asset Returns'!Y67-'Risk Factors'!$J67</f>
        <v>6.9676200000000008E-2</v>
      </c>
      <c r="Z67" s="25">
        <f>'Asset Returns'!Z67-'Risk Factors'!$J67</f>
        <v>-4.6218500000000003E-2</v>
      </c>
      <c r="AA67" s="25">
        <f>'Asset Returns'!AA67-'Risk Factors'!$J67</f>
        <v>-2.3428300000000003E-2</v>
      </c>
      <c r="AB67" s="25">
        <f>'Asset Returns'!AB67-'Risk Factors'!$J67</f>
        <v>-2.5162529999999999E-2</v>
      </c>
      <c r="AC67" s="25">
        <f>'Asset Returns'!AC67-'Risk Factors'!$J67</f>
        <v>-4.3116899999999993E-2</v>
      </c>
    </row>
    <row r="68" spans="5:29">
      <c r="E68" s="421">
        <f>'Asset Returns'!E68</f>
        <v>42216</v>
      </c>
      <c r="F68" s="25">
        <f>'Asset Returns'!F68-'Risk Factors'!$J68</f>
        <v>-6.2837623059749603E-2</v>
      </c>
      <c r="G68" s="25">
        <f>'Asset Returns'!G68-'Risk Factors'!$J68</f>
        <v>0.10090068727731705</v>
      </c>
      <c r="H68" s="25">
        <f>'Asset Returns'!H68-'Risk Factors'!$J68</f>
        <v>-6.6088274121284485E-2</v>
      </c>
      <c r="I68" s="25">
        <f>'Asset Returns'!I68-'Risk Factors'!$J68</f>
        <v>-0.12190146744251251</v>
      </c>
      <c r="J68" s="25">
        <f>'Asset Returns'!J68-'Risk Factors'!$J68</f>
        <v>-6.3325567170977592E-3</v>
      </c>
      <c r="K68" s="25">
        <f>'Asset Returns'!K68-'Risk Factors'!$J68</f>
        <v>0.10001898556947708</v>
      </c>
      <c r="L68" s="25">
        <f>'Asset Returns'!L68-'Risk Factors'!$J68</f>
        <v>1.2097272090613842E-2</v>
      </c>
      <c r="M68" s="25">
        <f>'Asset Returns'!M68-'Risk Factors'!$J68</f>
        <v>-4.1190139017999172E-3</v>
      </c>
      <c r="N68" s="25">
        <f>'Asset Returns'!N68-'Risk Factors'!$J68</f>
        <v>2.8216704726219177E-2</v>
      </c>
      <c r="O68" s="25"/>
      <c r="P68" s="421">
        <f>'Asset Returns'!P68</f>
        <v>42216</v>
      </c>
      <c r="Q68" s="25">
        <f>'Asset Returns'!Q68-'Risk Factors'!$J68</f>
        <v>1.5575571708000169E-2</v>
      </c>
      <c r="R68" s="25">
        <f>'Asset Returns'!R68-'Risk Factors'!$J68</f>
        <v>4.1598655318487276E-2</v>
      </c>
      <c r="S68" s="260"/>
      <c r="T68" s="421">
        <f>'Asset Returns'!T68</f>
        <v>42216</v>
      </c>
      <c r="U68" s="25">
        <f>'Asset Returns'!U68-'Risk Factors'!$J68</f>
        <v>1.4410009999999999E-2</v>
      </c>
      <c r="V68" s="25">
        <f>'Asset Returns'!V68-'Risk Factors'!$J68</f>
        <v>-5.3745799999999996E-2</v>
      </c>
      <c r="W68" s="25">
        <f>'Asset Returns'!W68-'Risk Factors'!$J68</f>
        <v>1.6464220000000002E-2</v>
      </c>
      <c r="X68" s="25">
        <f>'Asset Returns'!X68-'Risk Factors'!$J68</f>
        <v>2.4423962531823218E-2</v>
      </c>
      <c r="Y68" s="25">
        <f>'Asset Returns'!Y68-'Risk Factors'!$J68</f>
        <v>0.17045870000000002</v>
      </c>
      <c r="Z68" s="25">
        <f>'Asset Returns'!Z68-'Risk Factors'!$J68</f>
        <v>-0.12555070000000002</v>
      </c>
      <c r="AA68" s="25">
        <f>'Asset Returns'!AA68-'Risk Factors'!$J68</f>
        <v>1.7640100000000002E-2</v>
      </c>
      <c r="AB68" s="25">
        <f>'Asset Returns'!AB68-'Risk Factors'!$J68</f>
        <v>1.8709299999999998E-2</v>
      </c>
      <c r="AC68" s="25">
        <f>'Asset Returns'!AC68-'Risk Factors'!$J68</f>
        <v>7.7171000000000002E-3</v>
      </c>
    </row>
    <row r="69" spans="5:29">
      <c r="E69" s="421">
        <f>'Asset Returns'!E69</f>
        <v>42247</v>
      </c>
      <c r="F69" s="25">
        <f>'Asset Returns'!F69-'Risk Factors'!$J69</f>
        <v>-4.8847049474716187E-2</v>
      </c>
      <c r="G69" s="25">
        <f>'Asset Returns'!G69-'Risk Factors'!$J69</f>
        <v>-2.8210649266839027E-2</v>
      </c>
      <c r="H69" s="25">
        <f>'Asset Returns'!H69-'Risk Factors'!$J69</f>
        <v>-8.6177043616771698E-2</v>
      </c>
      <c r="I69" s="25">
        <f>'Asset Returns'!I69-'Risk Factors'!$J69</f>
        <v>-0.14526346325874329</v>
      </c>
      <c r="J69" s="25">
        <f>'Asset Returns'!J69-'Risk Factors'!$J69</f>
        <v>-0.10907085239887238</v>
      </c>
      <c r="K69" s="25">
        <f>'Asset Returns'!K69-'Risk Factors'!$J69</f>
        <v>-8.1784792244434357E-2</v>
      </c>
      <c r="L69" s="25">
        <f>'Asset Returns'!L69-'Risk Factors'!$J69</f>
        <v>-4.1712403297424316E-2</v>
      </c>
      <c r="M69" s="25">
        <f>'Asset Returns'!M69-'Risk Factors'!$J69</f>
        <v>-7.9450003802776337E-2</v>
      </c>
      <c r="N69" s="25">
        <f>'Asset Returns'!N69-'Risk Factors'!$J69</f>
        <v>-5.4808907210826874E-2</v>
      </c>
      <c r="O69" s="25"/>
      <c r="P69" s="421">
        <f>'Asset Returns'!P69</f>
        <v>42247</v>
      </c>
      <c r="Q69" s="25">
        <f>'Asset Returns'!Q69-'Risk Factors'!$J69</f>
        <v>-4.2494361259816094E-3</v>
      </c>
      <c r="R69" s="25">
        <f>'Asset Returns'!R69-'Risk Factors'!$J69</f>
        <v>6.3382942106515738E-3</v>
      </c>
      <c r="S69" s="260"/>
      <c r="T69" s="421">
        <f>'Asset Returns'!T69</f>
        <v>42247</v>
      </c>
      <c r="U69" s="25">
        <f>'Asset Returns'!U69-'Risk Factors'!$J69</f>
        <v>-6.3361349999999997E-2</v>
      </c>
      <c r="V69" s="25">
        <f>'Asset Returns'!V69-'Risk Factors'!$J69</f>
        <v>-0.1010886</v>
      </c>
      <c r="W69" s="25">
        <f>'Asset Returns'!W69-'Risk Factors'!$J69</f>
        <v>-6.9730800000000009E-2</v>
      </c>
      <c r="X69" s="25">
        <f>'Asset Returns'!X69-'Risk Factors'!$J69</f>
        <v>-7.5382094758615681E-2</v>
      </c>
      <c r="Y69" s="25">
        <f>'Asset Returns'!Y69-'Risk Factors'!$J69</f>
        <v>4.4207599999999993E-2</v>
      </c>
      <c r="Z69" s="25">
        <f>'Asset Returns'!Z69-'Risk Factors'!$J69</f>
        <v>1.5113399999999999E-2</v>
      </c>
      <c r="AA69" s="25">
        <f>'Asset Returns'!AA69-'Risk Factors'!$J69</f>
        <v>-6.6544400000000004E-2</v>
      </c>
      <c r="AB69" s="25">
        <f>'Asset Returns'!AB69-'Risk Factors'!$J69</f>
        <v>-6.0915699999999996E-2</v>
      </c>
      <c r="AC69" s="25">
        <f>'Asset Returns'!AC69-'Risk Factors'!$J69</f>
        <v>-0.12649489999999999</v>
      </c>
    </row>
    <row r="70" spans="5:29">
      <c r="E70" s="421">
        <f>'Asset Returns'!E70</f>
        <v>42277</v>
      </c>
      <c r="F70" s="25">
        <f>'Asset Returns'!F70-'Risk Factors'!$J70</f>
        <v>-7.6873995363712311E-2</v>
      </c>
      <c r="G70" s="25">
        <f>'Asset Returns'!G70-'Risk Factors'!$J70</f>
        <v>-2.8273506090044975E-2</v>
      </c>
      <c r="H70" s="25">
        <f>'Asset Returns'!H70-'Risk Factors'!$J70</f>
        <v>-8.7501026690006256E-2</v>
      </c>
      <c r="I70" s="25">
        <f>'Asset Returns'!I70-'Risk Factors'!$J70</f>
        <v>-0.11098580807447433</v>
      </c>
      <c r="J70" s="25">
        <f>'Asset Returns'!J70-'Risk Factors'!$J70</f>
        <v>-5.3237895481288433E-3</v>
      </c>
      <c r="K70" s="25">
        <f>'Asset Returns'!K70-'Risk Factors'!$J70</f>
        <v>-8.5291028022766113E-2</v>
      </c>
      <c r="L70" s="25">
        <f>'Asset Returns'!L70-'Risk Factors'!$J70</f>
        <v>4.6455390751361847E-2</v>
      </c>
      <c r="M70" s="25">
        <f>'Asset Returns'!M70-'Risk Factors'!$J70</f>
        <v>-1.9744411110877991E-2</v>
      </c>
      <c r="N70" s="25">
        <f>'Asset Returns'!N70-'Risk Factors'!$J70</f>
        <v>-6.7035541869699955E-3</v>
      </c>
      <c r="O70" s="25"/>
      <c r="P70" s="421">
        <f>'Asset Returns'!P70</f>
        <v>42277</v>
      </c>
      <c r="Q70" s="25">
        <f>'Asset Returns'!Q70-'Risk Factors'!$J70</f>
        <v>1.4259349596269288E-2</v>
      </c>
      <c r="R70" s="25">
        <f>'Asset Returns'!R70-'Risk Factors'!$J70</f>
        <v>7.4477452843304537E-3</v>
      </c>
      <c r="S70" s="260"/>
      <c r="T70" s="421">
        <f>'Asset Returns'!T70</f>
        <v>42277</v>
      </c>
      <c r="U70" s="25">
        <f>'Asset Returns'!U70-'Risk Factors'!$J70</f>
        <v>-6.7903199999999997E-2</v>
      </c>
      <c r="V70" s="25">
        <f>'Asset Returns'!V70-'Risk Factors'!$J70</f>
        <v>-4.5733499999999996E-2</v>
      </c>
      <c r="W70" s="25">
        <f>'Asset Returns'!W70-'Risk Factors'!$J70</f>
        <v>-2.9460160000000003E-2</v>
      </c>
      <c r="X70" s="25">
        <f>'Asset Returns'!X70-'Risk Factors'!$J70</f>
        <v>-3.2187140706246731E-2</v>
      </c>
      <c r="Y70" s="25">
        <f>'Asset Returns'!Y70-'Risk Factors'!$J70</f>
        <v>0.13991889999999998</v>
      </c>
      <c r="Z70" s="25">
        <f>'Asset Returns'!Z70-'Risk Factors'!$J70</f>
        <v>-2.97767E-2</v>
      </c>
      <c r="AA70" s="25">
        <f>'Asset Returns'!AA70-'Risk Factors'!$J70</f>
        <v>-3.669E-2</v>
      </c>
      <c r="AB70" s="25">
        <f>'Asset Returns'!AB70-'Risk Factors'!$J70</f>
        <v>-3.267631E-2</v>
      </c>
      <c r="AC70" s="25">
        <f>'Asset Returns'!AC70-'Risk Factors'!$J70</f>
        <v>-3.2253799999999999E-2</v>
      </c>
    </row>
    <row r="71" spans="5:29">
      <c r="E71" s="421">
        <f>'Asset Returns'!E71</f>
        <v>42308</v>
      </c>
      <c r="F71" s="25">
        <f>'Asset Returns'!F71-'Risk Factors'!$J71</f>
        <v>3.6973036825656891E-2</v>
      </c>
      <c r="G71" s="25">
        <f>'Asset Returns'!G71-'Risk Factors'!$J71</f>
        <v>0.12902894616127014</v>
      </c>
      <c r="H71" s="25">
        <f>'Asset Returns'!H71-'Risk Factors'!$J71</f>
        <v>0.17952367663383484</v>
      </c>
      <c r="I71" s="25">
        <f>'Asset Returns'!I71-'Risk Factors'!$J71</f>
        <v>0.29500323534011841</v>
      </c>
      <c r="J71" s="25">
        <f>'Asset Returns'!J71-'Risk Factors'!$J71</f>
        <v>6.3359722495079041E-2</v>
      </c>
      <c r="K71" s="25">
        <f>'Asset Returns'!K71-'Risk Factors'!$J71</f>
        <v>0.15631565451622009</v>
      </c>
      <c r="L71" s="25">
        <f>'Asset Returns'!L71-'Risk Factors'!$J71</f>
        <v>7.832644134759903E-2</v>
      </c>
      <c r="M71" s="25">
        <f>'Asset Returns'!M71-'Risk Factors'!$J71</f>
        <v>-3.3731117844581604E-2</v>
      </c>
      <c r="N71" s="25">
        <f>'Asset Returns'!N71-'Risk Factors'!$J71</f>
        <v>8.2271024584770203E-2</v>
      </c>
      <c r="O71" s="25"/>
      <c r="P71" s="421">
        <f>'Asset Returns'!P71</f>
        <v>42308</v>
      </c>
      <c r="Q71" s="25">
        <f>'Asset Returns'!Q71-'Risk Factors'!$J71</f>
        <v>-3.4407256803253849E-3</v>
      </c>
      <c r="R71" s="25">
        <f>'Asset Returns'!R71-'Risk Factors'!$J71</f>
        <v>-3.5114110508471463E-2</v>
      </c>
      <c r="S71" s="260"/>
      <c r="T71" s="421">
        <f>'Asset Returns'!T71</f>
        <v>42308</v>
      </c>
      <c r="U71" s="25">
        <f>'Asset Returns'!U71-'Risk Factors'!$J71</f>
        <v>8.4995559999999998E-2</v>
      </c>
      <c r="V71" s="25">
        <f>'Asset Returns'!V71-'Risk Factors'!$J71</f>
        <v>8.5315999999999989E-2</v>
      </c>
      <c r="W71" s="25">
        <f>'Asset Returns'!W71-'Risk Factors'!$J71</f>
        <v>0.10318708000000001</v>
      </c>
      <c r="X71" s="25">
        <f>'Asset Returns'!X71-'Risk Factors'!$J71</f>
        <v>7.1919701706099959E-2</v>
      </c>
      <c r="Y71" s="25">
        <f>'Asset Returns'!Y71-'Risk Factors'!$J71</f>
        <v>-0.2136178</v>
      </c>
      <c r="Z71" s="25">
        <f>'Asset Returns'!Z71-'Risk Factors'!$J71</f>
        <v>5.6265999999999997E-2</v>
      </c>
      <c r="AA71" s="25">
        <f>'Asset Returns'!AA71-'Risk Factors'!$J71</f>
        <v>7.9662899999999995E-2</v>
      </c>
      <c r="AB71" s="25">
        <f>'Asset Returns'!AB71-'Risk Factors'!$J71</f>
        <v>7.0706680000000008E-2</v>
      </c>
      <c r="AC71" s="25">
        <f>'Asset Returns'!AC71-'Risk Factors'!$J71</f>
        <v>0.17562239999999998</v>
      </c>
    </row>
    <row r="72" spans="5:29">
      <c r="E72" s="421">
        <f>'Asset Returns'!E72</f>
        <v>42338</v>
      </c>
      <c r="F72" s="25">
        <f>'Asset Returns'!F72-'Risk Factors'!$J72</f>
        <v>-1.7327573150396347E-2</v>
      </c>
      <c r="G72" s="25">
        <f>'Asset Returns'!G72-'Risk Factors'!$J72</f>
        <v>9.6975214779376984E-2</v>
      </c>
      <c r="H72" s="25">
        <f>'Asset Returns'!H72-'Risk Factors'!$J72</f>
        <v>-1.1708301492035389E-2</v>
      </c>
      <c r="I72" s="25">
        <f>'Asset Returns'!I72-'Risk Factors'!$J72</f>
        <v>7.8521750867366791E-2</v>
      </c>
      <c r="J72" s="25">
        <f>'Asset Returns'!J72-'Risk Factors'!$J72</f>
        <v>3.5078383516520262E-3</v>
      </c>
      <c r="K72" s="25">
        <f>'Asset Returns'!K72-'Risk Factors'!$J72</f>
        <v>6.2420866452157497E-3</v>
      </c>
      <c r="L72" s="25">
        <f>'Asset Returns'!L72-'Risk Factors'!$J72</f>
        <v>3.1581323593854904E-2</v>
      </c>
      <c r="M72" s="25">
        <f>'Asset Returns'!M72-'Risk Factors'!$J72</f>
        <v>4.647363442927599E-3</v>
      </c>
      <c r="N72" s="25">
        <f>'Asset Returns'!N72-'Risk Factors'!$J72</f>
        <v>9.4123035669326782E-3</v>
      </c>
      <c r="O72" s="25"/>
      <c r="P72" s="421">
        <f>'Asset Returns'!P72</f>
        <v>42338</v>
      </c>
      <c r="Q72" s="25">
        <f>'Asset Returns'!Q72-'Risk Factors'!$J72</f>
        <v>5.7745917960971838E-3</v>
      </c>
      <c r="R72" s="25">
        <f>'Asset Returns'!R72-'Risk Factors'!$J72</f>
        <v>-5.7689373712721537E-4</v>
      </c>
      <c r="S72" s="260"/>
      <c r="T72" s="421">
        <f>'Asset Returns'!T72</f>
        <v>42338</v>
      </c>
      <c r="U72" s="25">
        <f>'Asset Returns'!U72-'Risk Factors'!$J72</f>
        <v>-2.3593280000000001E-2</v>
      </c>
      <c r="V72" s="25">
        <f>'Asset Returns'!V72-'Risk Factors'!$J72</f>
        <v>-4.77121E-2</v>
      </c>
      <c r="W72" s="25">
        <f>'Asset Returns'!W72-'Risk Factors'!$J72</f>
        <v>3.4839199999999997E-3</v>
      </c>
      <c r="X72" s="25">
        <f>'Asset Returns'!X72-'Risk Factors'!$J72</f>
        <v>-1.7517079045125006E-2</v>
      </c>
      <c r="Y72" s="25">
        <f>'Asset Returns'!Y72-'Risk Factors'!$J72</f>
        <v>-9.0437E-3</v>
      </c>
      <c r="Z72" s="25">
        <f>'Asset Returns'!Z72-'Risk Factors'!$J72</f>
        <v>-7.5060500000000002E-2</v>
      </c>
      <c r="AA72" s="25">
        <f>'Asset Returns'!AA72-'Risk Factors'!$J72</f>
        <v>-5.0939000000000002E-3</v>
      </c>
      <c r="AB72" s="25">
        <f>'Asset Returns'!AB72-'Risk Factors'!$J72</f>
        <v>-4.9206400000000004E-3</v>
      </c>
      <c r="AC72" s="25">
        <f>'Asset Returns'!AC72-'Risk Factors'!$J72</f>
        <v>1.0761400000000001E-2</v>
      </c>
    </row>
    <row r="73" spans="5:29">
      <c r="E73" s="421">
        <f>'Asset Returns'!E73</f>
        <v>42369</v>
      </c>
      <c r="F73" s="25">
        <f>'Asset Returns'!F73-'Risk Factors'!$J73</f>
        <v>-0.10837228426933289</v>
      </c>
      <c r="G73" s="25">
        <f>'Asset Returns'!G73-'Risk Factors'!$J73</f>
        <v>9.6225412392616269E-2</v>
      </c>
      <c r="H73" s="25">
        <f>'Asset Returns'!H73-'Risk Factors'!$J73</f>
        <v>-0.10048015991449356</v>
      </c>
      <c r="I73" s="25">
        <f>'Asset Returns'!I73-'Risk Factors'!$J73</f>
        <v>-6.9267174398899081E-2</v>
      </c>
      <c r="J73" s="25">
        <f>'Asset Returns'!J73-'Risk Factors'!$J73</f>
        <v>1.9963356364518406E-3</v>
      </c>
      <c r="K73" s="25">
        <f>'Asset Returns'!K73-'Risk Factors'!$J73</f>
        <v>-6.3855832612514499E-2</v>
      </c>
      <c r="L73" s="25">
        <f>'Asset Returns'!L73-'Risk Factors'!$J73</f>
        <v>2.6915678584575654E-2</v>
      </c>
      <c r="M73" s="25">
        <f>'Asset Returns'!M73-'Risk Factors'!$J73</f>
        <v>-1.3110632246732711E-2</v>
      </c>
      <c r="N73" s="25">
        <f>'Asset Returns'!N73-'Risk Factors'!$J73</f>
        <v>1.4418728479743004E-2</v>
      </c>
      <c r="O73" s="25"/>
      <c r="P73" s="421">
        <f>'Asset Returns'!P73</f>
        <v>42369</v>
      </c>
      <c r="Q73" s="25">
        <f>'Asset Returns'!Q73-'Risk Factors'!$J73</f>
        <v>-2.3059038149854671E-2</v>
      </c>
      <c r="R73" s="25">
        <f>'Asset Returns'!R73-'Risk Factors'!$J73</f>
        <v>6.0062001784155659E-3</v>
      </c>
      <c r="S73" s="260"/>
      <c r="T73" s="421">
        <f>'Asset Returns'!T73</f>
        <v>42369</v>
      </c>
      <c r="U73" s="25">
        <f>'Asset Returns'!U73-'Risk Factors'!$J73</f>
        <v>-1.9976400000000002E-2</v>
      </c>
      <c r="V73" s="25">
        <f>'Asset Returns'!V73-'Risk Factors'!$J73</f>
        <v>5.3352499999999997E-2</v>
      </c>
      <c r="W73" s="25">
        <f>'Asset Returns'!W73-'Risk Factors'!$J73</f>
        <v>-1.744658E-2</v>
      </c>
      <c r="X73" s="25">
        <f>'Asset Returns'!X73-'Risk Factors'!$J73</f>
        <v>-5.2406462397469713E-3</v>
      </c>
      <c r="Y73" s="25">
        <f>'Asset Returns'!Y73-'Risk Factors'!$J73</f>
        <v>0.21419780000000002</v>
      </c>
      <c r="Z73" s="25">
        <f>'Asset Returns'!Z73-'Risk Factors'!$J73</f>
        <v>4.8872800000000001E-2</v>
      </c>
      <c r="AA73" s="25">
        <f>'Asset Returns'!AA73-'Risk Factors'!$J73</f>
        <v>-1.79706E-2</v>
      </c>
      <c r="AB73" s="25">
        <f>'Asset Returns'!AB73-'Risk Factors'!$J73</f>
        <v>-7.1239700000000012E-3</v>
      </c>
      <c r="AC73" s="25">
        <f>'Asset Returns'!AC73-'Risk Factors'!$J73</f>
        <v>-3.6047300000000004E-2</v>
      </c>
    </row>
    <row r="74" spans="5:29">
      <c r="E74" s="421">
        <f>'Asset Returns'!E74</f>
        <v>42400</v>
      </c>
      <c r="F74" s="25">
        <f>'Asset Returns'!F74-'Risk Factors'!$J74</f>
        <v>-2.5295050984621047E-2</v>
      </c>
      <c r="G74" s="25">
        <f>'Asset Returns'!G74-'Risk Factors'!$J74</f>
        <v>-7.803524116277695E-2</v>
      </c>
      <c r="H74" s="25">
        <f>'Asset Returns'!H74-'Risk Factors'!$J74</f>
        <v>2.22923958837986E-2</v>
      </c>
      <c r="I74" s="25">
        <f>'Asset Returns'!I74-'Risk Factors'!$J74</f>
        <v>-0.16105721721649169</v>
      </c>
      <c r="J74" s="25">
        <f>'Asset Returns'!J74-'Risk Factors'!$J74</f>
        <v>-4.4775651937723163E-2</v>
      </c>
      <c r="K74" s="25">
        <f>'Asset Returns'!K74-'Risk Factors'!$J74</f>
        <v>3.5424684935808179E-2</v>
      </c>
      <c r="L74" s="25">
        <f>'Asset Returns'!L74-'Risk Factors'!$J74</f>
        <v>-5.1402898675203326E-2</v>
      </c>
      <c r="M74" s="25">
        <f>'Asset Returns'!M74-'Risk Factors'!$J74</f>
        <v>-9.3427723443508151E-2</v>
      </c>
      <c r="N74" s="25">
        <f>'Asset Returns'!N74-'Risk Factors'!$J74</f>
        <v>1.6544548624753953E-2</v>
      </c>
      <c r="O74" s="25"/>
      <c r="P74" s="421">
        <f>'Asset Returns'!P74</f>
        <v>42400</v>
      </c>
      <c r="Q74" s="25">
        <f>'Asset Returns'!Q74-'Risk Factors'!$J74</f>
        <v>2.916155780016293E-2</v>
      </c>
      <c r="R74" s="25">
        <f>'Asset Returns'!R74-'Risk Factors'!$J74</f>
        <v>2.7746924889641356E-2</v>
      </c>
      <c r="S74" s="260"/>
      <c r="T74" s="421">
        <f>'Asset Returns'!T74</f>
        <v>42400</v>
      </c>
      <c r="U74" s="25">
        <f>'Asset Returns'!U74-'Risk Factors'!$J74</f>
        <v>-8.8914939999999998E-2</v>
      </c>
      <c r="V74" s="25">
        <f>'Asset Returns'!V74-'Risk Factors'!$J74</f>
        <v>-0.1188628</v>
      </c>
      <c r="W74" s="25">
        <f>'Asset Returns'!W74-'Risk Factors'!$J74</f>
        <v>-4.8599830000000004E-2</v>
      </c>
      <c r="X74" s="25">
        <f>'Asset Returns'!X74-'Risk Factors'!$J74</f>
        <v>-7.3838099917617264E-2</v>
      </c>
      <c r="Y74" s="25">
        <f>'Asset Returns'!Y74-'Risk Factors'!$J74</f>
        <v>2.5508900000000001E-2</v>
      </c>
      <c r="Z74" s="25">
        <f>'Asset Returns'!Z74-'Risk Factors'!$J74</f>
        <v>1.3636300000000001E-2</v>
      </c>
      <c r="AA74" s="25">
        <f>'Asset Returns'!AA74-'Risk Factors'!$J74</f>
        <v>-5.9815400000000005E-2</v>
      </c>
      <c r="AB74" s="25">
        <f>'Asset Returns'!AB74-'Risk Factors'!$J74</f>
        <v>-6.1245940000000006E-2</v>
      </c>
      <c r="AC74" s="25">
        <f>'Asset Returns'!AC74-'Risk Factors'!$J74</f>
        <v>-0.1108944</v>
      </c>
    </row>
    <row r="75" spans="5:29">
      <c r="E75" s="421">
        <f>'Asset Returns'!E75</f>
        <v>42429</v>
      </c>
      <c r="F75" s="25">
        <f>'Asset Returns'!F75-'Risk Factors'!$J75</f>
        <v>3.6651514130830766E-2</v>
      </c>
      <c r="G75" s="25">
        <f>'Asset Returns'!G75-'Risk Factors'!$J75</f>
        <v>4.1937078940868379E-2</v>
      </c>
      <c r="H75" s="25">
        <f>'Asset Returns'!H75-'Risk Factors'!$J75</f>
        <v>-6.1599050056934355E-2</v>
      </c>
      <c r="I75" s="25">
        <f>'Asset Returns'!I75-'Risk Factors'!$J75</f>
        <v>-0.11793584038019181</v>
      </c>
      <c r="J75" s="25">
        <f>'Asset Returns'!J75-'Risk Factors'!$J75</f>
        <v>-0.12194665927886963</v>
      </c>
      <c r="K75" s="25">
        <f>'Asset Returns'!K75-'Risk Factors'!$J75</f>
        <v>-3.9692718875408171E-2</v>
      </c>
      <c r="L75" s="25">
        <f>'Asset Returns'!L75-'Risk Factors'!$J75</f>
        <v>-4.5053877276182173E-2</v>
      </c>
      <c r="M75" s="25">
        <f>'Asset Returns'!M75-'Risk Factors'!$J75</f>
        <v>6.0353766787052156E-2</v>
      </c>
      <c r="N75" s="25">
        <f>'Asset Returns'!N75-'Risk Factors'!$J75</f>
        <v>1.422620251327753E-2</v>
      </c>
      <c r="O75" s="25"/>
      <c r="P75" s="421">
        <f>'Asset Returns'!P75</f>
        <v>42429</v>
      </c>
      <c r="Q75" s="25">
        <f>'Asset Returns'!Q75-'Risk Factors'!$J75</f>
        <v>9.6068985308004114E-3</v>
      </c>
      <c r="R75" s="25">
        <f>'Asset Returns'!R75-'Risk Factors'!$J75</f>
        <v>1.9958150348746485E-3</v>
      </c>
      <c r="S75" s="260"/>
      <c r="T75" s="421">
        <f>'Asset Returns'!T75</f>
        <v>42429</v>
      </c>
      <c r="U75" s="25">
        <f>'Asset Returns'!U75-'Risk Factors'!$J75</f>
        <v>1.2806660000000001E-2</v>
      </c>
      <c r="V75" s="25">
        <f>'Asset Returns'!V75-'Risk Factors'!$J75</f>
        <v>-2.3618E-2</v>
      </c>
      <c r="W75" s="25">
        <f>'Asset Returns'!W75-'Risk Factors'!$J75</f>
        <v>8.8571899999999992E-3</v>
      </c>
      <c r="X75" s="25">
        <f>'Asset Returns'!X75-'Risk Factors'!$J75</f>
        <v>-8.6083139070219031E-3</v>
      </c>
      <c r="Y75" s="25">
        <f>'Asset Returns'!Y75-'Risk Factors'!$J75</f>
        <v>2.0834099999999998E-2</v>
      </c>
      <c r="Z75" s="25">
        <f>'Asset Returns'!Z75-'Risk Factors'!$J75</f>
        <v>0.25454250000000006</v>
      </c>
      <c r="AA75" s="25">
        <f>'Asset Returns'!AA75-'Risk Factors'!$J75</f>
        <v>-7.4235999999999998E-3</v>
      </c>
      <c r="AB75" s="25">
        <f>'Asset Returns'!AB75-'Risk Factors'!$J75</f>
        <v>-7.8920200000000013E-3</v>
      </c>
      <c r="AC75" s="25">
        <f>'Asset Returns'!AC75-'Risk Factors'!$J75</f>
        <v>1.1552100000000001E-2</v>
      </c>
    </row>
    <row r="76" spans="5:29">
      <c r="E76" s="421">
        <f>'Asset Returns'!E76</f>
        <v>42460</v>
      </c>
      <c r="F76" s="25">
        <f>'Asset Returns'!F76-'Risk Factors'!$J76</f>
        <v>0.17259738187789916</v>
      </c>
      <c r="G76" s="25">
        <f>'Asset Returns'!G76-'Risk Factors'!$J76</f>
        <v>5.8917045253515245E-2</v>
      </c>
      <c r="H76" s="25">
        <f>'Asset Returns'!H76-'Risk Factors'!$J76</f>
        <v>2.7146890419721605E-2</v>
      </c>
      <c r="I76" s="25">
        <f>'Asset Returns'!I76-'Risk Factors'!$J76</f>
        <v>0.33245897631645205</v>
      </c>
      <c r="J76" s="25">
        <f>'Asset Returns'!J76-'Risk Factors'!$J76</f>
        <v>3.135403956770897E-2</v>
      </c>
      <c r="K76" s="25">
        <f>'Asset Returns'!K76-'Risk Factors'!$J76</f>
        <v>0.11997653882503509</v>
      </c>
      <c r="L76" s="25">
        <f>'Asset Returns'!L76-'Risk Factors'!$J76</f>
        <v>0.1011854369521141</v>
      </c>
      <c r="M76" s="25">
        <f>'Asset Returns'!M76-'Risk Factors'!$J76</f>
        <v>0.15544216673374175</v>
      </c>
      <c r="N76" s="25">
        <f>'Asset Returns'!N76-'Risk Factors'!$J76</f>
        <v>2.8019351544976236E-2</v>
      </c>
      <c r="O76" s="25"/>
      <c r="P76" s="421">
        <f>'Asset Returns'!P76</f>
        <v>42460</v>
      </c>
      <c r="Q76" s="25">
        <f>'Asset Returns'!Q76-'Risk Factors'!$J76</f>
        <v>9.532386510082482E-4</v>
      </c>
      <c r="R76" s="25">
        <f>'Asset Returns'!R76-'Risk Factors'!$J76</f>
        <v>6.2717470955386606E-3</v>
      </c>
      <c r="S76" s="260"/>
      <c r="T76" s="421">
        <f>'Asset Returns'!T76</f>
        <v>42460</v>
      </c>
      <c r="U76" s="25">
        <f>'Asset Returns'!U76-'Risk Factors'!$J76</f>
        <v>7.6768119999999995E-2</v>
      </c>
      <c r="V76" s="25">
        <f>'Asset Returns'!V76-'Risk Factors'!$J76</f>
        <v>0.10004489999999999</v>
      </c>
      <c r="W76" s="25">
        <f>'Asset Returns'!W76-'Risk Factors'!$J76</f>
        <v>5.8354500000000004E-2</v>
      </c>
      <c r="X76" s="25">
        <f>'Asset Returns'!X76-'Risk Factors'!$J76</f>
        <v>5.1896315396550353E-2</v>
      </c>
      <c r="Y76" s="25">
        <f>'Asset Returns'!Y76-'Risk Factors'!$J76</f>
        <v>-0.18507510000000002</v>
      </c>
      <c r="Z76" s="25">
        <f>'Asset Returns'!Z76-'Risk Factors'!$J76</f>
        <v>9.9152099999999993E-2</v>
      </c>
      <c r="AA76" s="25">
        <f>'Asset Returns'!AA76-'Risk Factors'!$J76</f>
        <v>6.7201399999999994E-2</v>
      </c>
      <c r="AB76" s="25">
        <f>'Asset Returns'!AB76-'Risk Factors'!$J76</f>
        <v>7.5280749999999994E-2</v>
      </c>
      <c r="AC76" s="25">
        <f>'Asset Returns'!AC76-'Risk Factors'!$J76</f>
        <v>0.1460513</v>
      </c>
    </row>
    <row r="77" spans="5:29">
      <c r="E77" s="421">
        <f>'Asset Returns'!E77</f>
        <v>42490</v>
      </c>
      <c r="F77" s="25">
        <f>'Asset Returns'!F77-'Risk Factors'!$J77</f>
        <v>0.1783828007221222</v>
      </c>
      <c r="G77" s="25">
        <f>'Asset Returns'!G77-'Risk Factors'!$J77</f>
        <v>1.2434742243587971E-2</v>
      </c>
      <c r="H77" s="25">
        <f>'Asset Returns'!H77-'Risk Factors'!$J77</f>
        <v>8.7698930704593656E-2</v>
      </c>
      <c r="I77" s="25">
        <f>'Asset Returns'!I77-'Risk Factors'!$J77</f>
        <v>5.4347613656520841E-2</v>
      </c>
      <c r="J77" s="25">
        <f>'Asset Returns'!J77-'Risk Factors'!$J77</f>
        <v>-2.3234125062823294E-3</v>
      </c>
      <c r="K77" s="25">
        <f>'Asset Returns'!K77-'Risk Factors'!$J77</f>
        <v>-3.6666995084285739E-2</v>
      </c>
      <c r="L77" s="25">
        <f>'Asset Returns'!L77-'Risk Factors'!$J77</f>
        <v>4.2776119127869603E-3</v>
      </c>
      <c r="M77" s="25">
        <f>'Asset Returns'!M77-'Risk Factors'!$J77</f>
        <v>-3.658164123296738E-2</v>
      </c>
      <c r="N77" s="25">
        <f>'Asset Returns'!N77-'Risk Factors'!$J77</f>
        <v>3.5659516060352323E-2</v>
      </c>
      <c r="O77" s="25"/>
      <c r="P77" s="421">
        <f>'Asset Returns'!P77</f>
        <v>42490</v>
      </c>
      <c r="Q77" s="25">
        <f>'Asset Returns'!Q77-'Risk Factors'!$J77</f>
        <v>-8.9324119151746977E-3</v>
      </c>
      <c r="R77" s="25">
        <f>'Asset Returns'!R77-'Risk Factors'!$J77</f>
        <v>1.7832113163021902E-2</v>
      </c>
      <c r="S77" s="260"/>
      <c r="T77" s="421">
        <f>'Asset Returns'!T77</f>
        <v>42490</v>
      </c>
      <c r="U77" s="25">
        <f>'Asset Returns'!U77-'Risk Factors'!$J77</f>
        <v>4.4118219999999993E-2</v>
      </c>
      <c r="V77" s="25">
        <f>'Asset Returns'!V77-'Risk Factors'!$J77</f>
        <v>-5.6832000000000002E-3</v>
      </c>
      <c r="W77" s="25">
        <f>'Asset Returns'!W77-'Risk Factors'!$J77</f>
        <v>4.2401599999999998E-3</v>
      </c>
      <c r="X77" s="25">
        <f>'Asset Returns'!X77-'Risk Factors'!$J77</f>
        <v>3.211813088995086E-3</v>
      </c>
      <c r="Y77" s="25">
        <f>'Asset Returns'!Y77-'Risk Factors'!$J77</f>
        <v>-0.17065269999999999</v>
      </c>
      <c r="Z77" s="25">
        <f>'Asset Returns'!Z77-'Risk Factors'!$J77</f>
        <v>0.3162065</v>
      </c>
      <c r="AA77" s="25">
        <f>'Asset Returns'!AA77-'Risk Factors'!$J77</f>
        <v>1.63318E-2</v>
      </c>
      <c r="AB77" s="25">
        <f>'Asset Returns'!AB77-'Risk Factors'!$J77</f>
        <v>4.7280299999999994E-3</v>
      </c>
      <c r="AC77" s="25">
        <f>'Asset Returns'!AC77-'Risk Factors'!$J77</f>
        <v>9.2274999999999996E-3</v>
      </c>
    </row>
    <row r="78" spans="5:29">
      <c r="E78" s="421">
        <f>'Asset Returns'!E78</f>
        <v>42521</v>
      </c>
      <c r="F78" s="25">
        <f>'Asset Returns'!F78-'Risk Factors'!$J78</f>
        <v>-0.15471574494838713</v>
      </c>
      <c r="G78" s="25">
        <f>'Asset Returns'!G78-'Risk Factors'!$J78</f>
        <v>1.6255819402635097E-3</v>
      </c>
      <c r="H78" s="25">
        <f>'Asset Returns'!H78-'Risk Factors'!$J78</f>
        <v>-3.2151544636487964E-2</v>
      </c>
      <c r="I78" s="25">
        <f>'Asset Returns'!I78-'Risk Factors'!$J78</f>
        <v>0.1094508337020874</v>
      </c>
      <c r="J78" s="25">
        <f>'Asset Returns'!J78-'Risk Factors'!$J78</f>
        <v>-1.3442160731554031E-2</v>
      </c>
      <c r="K78" s="25">
        <f>'Asset Returns'!K78-'Risk Factors'!$J78</f>
        <v>1.5464866364002228E-2</v>
      </c>
      <c r="L78" s="25">
        <f>'Asset Returns'!L78-'Risk Factors'!$J78</f>
        <v>5.552065169215202E-2</v>
      </c>
      <c r="M78" s="25">
        <f>'Asset Returns'!M78-'Risk Factors'!$J78</f>
        <v>6.325969269275665E-2</v>
      </c>
      <c r="N78" s="25">
        <f>'Asset Returns'!N78-'Risk Factors'!$J78</f>
        <v>1.2383468279242516E-2</v>
      </c>
      <c r="O78" s="25"/>
      <c r="P78" s="421">
        <f>'Asset Returns'!P78</f>
        <v>42521</v>
      </c>
      <c r="Q78" s="25">
        <f>'Asset Returns'!Q78-'Risk Factors'!$J78</f>
        <v>-6.5202677997595717E-3</v>
      </c>
      <c r="R78" s="25">
        <f>'Asset Returns'!R78-'Risk Factors'!$J78</f>
        <v>1.5314751616279921E-2</v>
      </c>
      <c r="S78" s="260"/>
      <c r="T78" s="421">
        <f>'Asset Returns'!T78</f>
        <v>42521</v>
      </c>
      <c r="U78" s="25">
        <f>'Asset Returns'!U78-'Risk Factors'!$J78</f>
        <v>-1.555993E-2</v>
      </c>
      <c r="V78" s="25">
        <f>'Asset Returns'!V78-'Risk Factors'!$J78</f>
        <v>-5.6275300000000007E-2</v>
      </c>
      <c r="W78" s="25">
        <f>'Asset Returns'!W78-'Risk Factors'!$J78</f>
        <v>1.9921110000000002E-2</v>
      </c>
      <c r="X78" s="25">
        <f>'Asset Returns'!X78-'Risk Factors'!$J78</f>
        <v>8.2830790127110705E-3</v>
      </c>
      <c r="Y78" s="25">
        <f>'Asset Returns'!Y78-'Risk Factors'!$J78</f>
        <v>1.5626400000000002E-2</v>
      </c>
      <c r="Z78" s="25">
        <f>'Asset Returns'!Z78-'Risk Factors'!$J78</f>
        <v>-1.05478E-2</v>
      </c>
      <c r="AA78" s="25">
        <f>'Asset Returns'!AA78-'Risk Factors'!$J78</f>
        <v>5.424599999999999E-3</v>
      </c>
      <c r="AB78" s="25">
        <f>'Asset Returns'!AB78-'Risk Factors'!$J78</f>
        <v>5.1084399999999997E-3</v>
      </c>
      <c r="AC78" s="25">
        <f>'Asset Returns'!AC78-'Risk Factors'!$J78</f>
        <v>6.1749999999999991E-3</v>
      </c>
    </row>
    <row r="79" spans="5:29">
      <c r="E79" s="421">
        <f>'Asset Returns'!E79</f>
        <v>42551</v>
      </c>
      <c r="F79" s="25">
        <f>'Asset Returns'!F79-'Risk Factors'!$J79</f>
        <v>-8.7655059665441518E-3</v>
      </c>
      <c r="G79" s="25">
        <f>'Asset Returns'!G79-'Risk Factors'!$J79</f>
        <v>-5.7846643370389937E-2</v>
      </c>
      <c r="H79" s="25">
        <f>'Asset Returns'!H79-'Risk Factors'!$J79</f>
        <v>0.1260255311012268</v>
      </c>
      <c r="I79" s="25">
        <f>'Asset Returns'!I79-'Risk Factors'!$J79</f>
        <v>-4.3786348447203633E-3</v>
      </c>
      <c r="J79" s="25">
        <f>'Asset Returns'!J79-'Risk Factors'!$J79</f>
        <v>-5.5998076093196868E-2</v>
      </c>
      <c r="K79" s="25">
        <f>'Asset Returns'!K79-'Risk Factors'!$J79</f>
        <v>-7.766164500713349E-2</v>
      </c>
      <c r="L79" s="25">
        <f>'Asset Returns'!L79-'Risk Factors'!$J79</f>
        <v>-3.7396077406406401E-2</v>
      </c>
      <c r="M79" s="25">
        <f>'Asset Returns'!M79-'Risk Factors'!$J79</f>
        <v>-1.3148788702487946E-2</v>
      </c>
      <c r="N79" s="25">
        <f>'Asset Returns'!N79-'Risk Factors'!$J79</f>
        <v>7.600429247617721E-2</v>
      </c>
      <c r="O79" s="25"/>
      <c r="P79" s="421">
        <f>'Asset Returns'!P79</f>
        <v>42551</v>
      </c>
      <c r="Q79" s="25">
        <f>'Asset Returns'!Q79-'Risk Factors'!$J79</f>
        <v>3.1780319803198044E-2</v>
      </c>
      <c r="R79" s="25">
        <f>'Asset Returns'!R79-'Risk Factors'!$J79</f>
        <v>4.0762789257112499E-2</v>
      </c>
      <c r="S79" s="260"/>
      <c r="T79" s="421">
        <f>'Asset Returns'!T79</f>
        <v>42551</v>
      </c>
      <c r="U79" s="25">
        <f>'Asset Returns'!U79-'Risk Factors'!$J79</f>
        <v>-5.828477E-2</v>
      </c>
      <c r="V79" s="25">
        <f>'Asset Returns'!V79-'Risk Factors'!$J79</f>
        <v>2.2264700000000002E-2</v>
      </c>
      <c r="W79" s="25">
        <f>'Asset Returns'!W79-'Risk Factors'!$J79</f>
        <v>-1.38917E-2</v>
      </c>
      <c r="X79" s="25">
        <f>'Asset Returns'!X79-'Risk Factors'!$J79</f>
        <v>-3.718438136716453E-2</v>
      </c>
      <c r="Y79" s="25">
        <f>'Asset Returns'!Y79-'Risk Factors'!$J79</f>
        <v>-7.3163000000000006E-2</v>
      </c>
      <c r="Z79" s="25">
        <f>'Asset Returns'!Z79-'Risk Factors'!$J79</f>
        <v>0.1672208</v>
      </c>
      <c r="AA79" s="25">
        <f>'Asset Returns'!AA79-'Risk Factors'!$J79</f>
        <v>-1.1356100000000001E-2</v>
      </c>
      <c r="AB79" s="25">
        <f>'Asset Returns'!AB79-'Risk Factors'!$J79</f>
        <v>-1.4992320000000002E-2</v>
      </c>
      <c r="AC79" s="25">
        <f>'Asset Returns'!AC79-'Risk Factors'!$J79</f>
        <v>1.37456E-2</v>
      </c>
    </row>
    <row r="80" spans="5:29">
      <c r="E80" s="421">
        <f>'Asset Returns'!E80</f>
        <v>42582</v>
      </c>
      <c r="F80" s="25">
        <f>'Asset Returns'!F80-'Risk Factors'!$J80</f>
        <v>2.84464902728796E-3</v>
      </c>
      <c r="G80" s="25">
        <f>'Asset Returns'!G80-'Risk Factors'!$J80</f>
        <v>3.2895844089984895E-2</v>
      </c>
      <c r="H80" s="25">
        <f>'Asset Returns'!H80-'Risk Factors'!$J80</f>
        <v>-3.2812781971693038E-2</v>
      </c>
      <c r="I80" s="25">
        <f>'Asset Returns'!I80-'Risk Factors'!$J80</f>
        <v>0.10409000854492187</v>
      </c>
      <c r="J80" s="25">
        <f>'Asset Returns'!J80-'Risk Factors'!$J80</f>
        <v>0.16745767335891723</v>
      </c>
      <c r="K80" s="25">
        <f>'Asset Returns'!K80-'Risk Factors'!$J80</f>
        <v>7.2471331465244287E-2</v>
      </c>
      <c r="L80" s="25">
        <f>'Asset Returns'!L80-'Risk Factors'!$J80</f>
        <v>2.1209772336483003E-2</v>
      </c>
      <c r="M80" s="25">
        <f>'Asset Returns'!M80-'Risk Factors'!$J80</f>
        <v>5.784218351840973E-2</v>
      </c>
      <c r="N80" s="25">
        <f>'Asset Returns'!N80-'Risk Factors'!$J80</f>
        <v>3.1999010252952577E-2</v>
      </c>
      <c r="O80" s="25"/>
      <c r="P80" s="421">
        <f>'Asset Returns'!P80</f>
        <v>42582</v>
      </c>
      <c r="Q80" s="25">
        <f>'Asset Returns'!Q80-'Risk Factors'!$J80</f>
        <v>2.5377863227597831E-3</v>
      </c>
      <c r="R80" s="25">
        <f>'Asset Returns'!R80-'Risk Factors'!$J80</f>
        <v>1.5237713586208046E-2</v>
      </c>
      <c r="S80" s="260"/>
      <c r="T80" s="421">
        <f>'Asset Returns'!T80</f>
        <v>42582</v>
      </c>
      <c r="U80" s="25">
        <f>'Asset Returns'!U80-'Risk Factors'!$J80</f>
        <v>3.7441080000000002E-2</v>
      </c>
      <c r="V80" s="25">
        <f>'Asset Returns'!V80-'Risk Factors'!$J80</f>
        <v>3.6927700000000001E-2</v>
      </c>
      <c r="W80" s="25">
        <f>'Asset Returns'!W80-'Risk Factors'!$J80</f>
        <v>5.857221E-2</v>
      </c>
      <c r="X80" s="25">
        <f>'Asset Returns'!X80-'Risk Factors'!$J80</f>
        <v>4.4031555421757164E-2</v>
      </c>
      <c r="Y80" s="25">
        <f>'Asset Returns'!Y80-'Risk Factors'!$J80</f>
        <v>3.4246800000000001E-2</v>
      </c>
      <c r="Z80" s="25">
        <f>'Asset Returns'!Z80-'Risk Factors'!$J80</f>
        <v>0.1432109</v>
      </c>
      <c r="AA80" s="25">
        <f>'Asset Returns'!AA80-'Risk Factors'!$J80</f>
        <v>4.2117400000000006E-2</v>
      </c>
      <c r="AB80" s="25">
        <f>'Asset Returns'!AB80-'Risk Factors'!$J80</f>
        <v>4.8536860000000001E-2</v>
      </c>
      <c r="AC80" s="25">
        <f>'Asset Returns'!AC80-'Risk Factors'!$J80</f>
        <v>5.8057899999999996E-2</v>
      </c>
    </row>
    <row r="81" spans="5:29">
      <c r="E81" s="421">
        <f>'Asset Returns'!E81</f>
        <v>42613</v>
      </c>
      <c r="F81" s="25">
        <f>'Asset Returns'!F81-'Risk Factors'!$J81</f>
        <v>-4.2810103528201577E-3</v>
      </c>
      <c r="G81" s="25">
        <f>'Asset Returns'!G81-'Risk Factors'!$J81</f>
        <v>0.18590461056232452</v>
      </c>
      <c r="H81" s="25">
        <f>'Asset Returns'!H81-'Risk Factors'!$J81</f>
        <v>6.4215735860168937E-3</v>
      </c>
      <c r="I81" s="25">
        <f>'Asset Returns'!I81-'Risk Factors'!$J81</f>
        <v>6.8400334227085108E-2</v>
      </c>
      <c r="J81" s="25">
        <f>'Asset Returns'!J81-'Risk Factors'!$J81</f>
        <v>4.8246569591760637E-2</v>
      </c>
      <c r="K81" s="25">
        <f>'Asset Returns'!K81-'Risk Factors'!$J81</f>
        <v>8.611081879138946E-2</v>
      </c>
      <c r="L81" s="25">
        <f>'Asset Returns'!L81-'Risk Factors'!$J81</f>
        <v>4.5073125171661378E-2</v>
      </c>
      <c r="M81" s="25">
        <f>'Asset Returns'!M81-'Risk Factors'!$J81</f>
        <v>-2.6867739994078875E-3</v>
      </c>
      <c r="N81" s="25">
        <f>'Asset Returns'!N81-'Risk Factors'!$J81</f>
        <v>-4.1076109153032302E-2</v>
      </c>
      <c r="O81" s="25"/>
      <c r="P81" s="421">
        <f>'Asset Returns'!P81</f>
        <v>42613</v>
      </c>
      <c r="Q81" s="25">
        <f>'Asset Returns'!Q81-'Risk Factors'!$J81</f>
        <v>-7.0079648654599808E-3</v>
      </c>
      <c r="R81" s="25">
        <f>'Asset Returns'!R81-'Risk Factors'!$J81</f>
        <v>1.1227291753872271E-3</v>
      </c>
      <c r="S81" s="260"/>
      <c r="T81" s="421">
        <f>'Asset Returns'!T81</f>
        <v>42613</v>
      </c>
      <c r="U81" s="25">
        <f>'Asset Returns'!U81-'Risk Factors'!$J81</f>
        <v>1.209206E-2</v>
      </c>
      <c r="V81" s="25">
        <f>'Asset Returns'!V81-'Risk Factors'!$J81</f>
        <v>1.2544699999999999E-2</v>
      </c>
      <c r="W81" s="25">
        <f>'Asset Returns'!W81-'Risk Factors'!$J81</f>
        <v>1.2419229999999998E-2</v>
      </c>
      <c r="X81" s="25">
        <f>'Asset Returns'!X81-'Risk Factors'!$J81</f>
        <v>-9.2046450220236945E-3</v>
      </c>
      <c r="Y81" s="25">
        <f>'Asset Returns'!Y81-'Risk Factors'!$J81</f>
        <v>-3.5114199999999998E-2</v>
      </c>
      <c r="Z81" s="25">
        <f>'Asset Returns'!Z81-'Risk Factors'!$J81</f>
        <v>-5.8957099999999998E-2</v>
      </c>
      <c r="AA81" s="25">
        <f>'Asset Returns'!AA81-'Risk Factors'!$J81</f>
        <v>3.4650000000000002E-4</v>
      </c>
      <c r="AB81" s="25">
        <f>'Asset Returns'!AB81-'Risk Factors'!$J81</f>
        <v>-3.5124800000000001E-3</v>
      </c>
      <c r="AC81" s="25">
        <f>'Asset Returns'!AC81-'Risk Factors'!$J81</f>
        <v>3.0755999999999999E-3</v>
      </c>
    </row>
    <row r="82" spans="5:29">
      <c r="E82" s="421">
        <f>'Asset Returns'!E82</f>
        <v>42643</v>
      </c>
      <c r="F82" s="25">
        <f>'Asset Returns'!F82-'Risk Factors'!$J82</f>
        <v>3.5963665354251863E-2</v>
      </c>
      <c r="G82" s="25">
        <f>'Asset Returns'!G82-'Risk Factors'!$J82</f>
        <v>-6.4271803617477414E-3</v>
      </c>
      <c r="H82" s="25">
        <f>'Asset Returns'!H82-'Risk Factors'!$J82</f>
        <v>4.2654852974414827E-2</v>
      </c>
      <c r="I82" s="25">
        <f>'Asset Returns'!I82-'Risk Factors'!$J82</f>
        <v>1.2625271705910563E-4</v>
      </c>
      <c r="J82" s="25">
        <f>'Asset Returns'!J82-'Risk Factors'!$J82</f>
        <v>-3.8017146629095076E-2</v>
      </c>
      <c r="K82" s="25">
        <f>'Asset Returns'!K82-'Risk Factors'!$J82</f>
        <v>2.1798764947056772E-2</v>
      </c>
      <c r="L82" s="25">
        <f>'Asset Returns'!L82-'Risk Factors'!$J82</f>
        <v>6.0493364590406419E-2</v>
      </c>
      <c r="M82" s="25">
        <f>'Asset Returns'!M82-'Risk Factors'!$J82</f>
        <v>-5.8882368244230745E-4</v>
      </c>
      <c r="N82" s="25">
        <f>'Asset Returns'!N82-'Risk Factors'!$J82</f>
        <v>-1.0539098051190377E-2</v>
      </c>
      <c r="O82" s="25"/>
      <c r="P82" s="421">
        <f>'Asset Returns'!P82</f>
        <v>42643</v>
      </c>
      <c r="Q82" s="25">
        <f>'Asset Returns'!Q82-'Risk Factors'!$J82</f>
        <v>2.092152458471095E-2</v>
      </c>
      <c r="R82" s="25">
        <f>'Asset Returns'!R82-'Risk Factors'!$J82</f>
        <v>-3.7281920941743206E-3</v>
      </c>
      <c r="S82" s="260"/>
      <c r="T82" s="421">
        <f>'Asset Returns'!T82</f>
        <v>42643</v>
      </c>
      <c r="U82" s="25">
        <f>'Asset Returns'!U82-'Risk Factors'!$J82</f>
        <v>1.0559719999999998E-2</v>
      </c>
      <c r="V82" s="25">
        <f>'Asset Returns'!V82-'Risk Factors'!$J82</f>
        <v>-1.2504700000000001E-2</v>
      </c>
      <c r="W82" s="25">
        <f>'Asset Returns'!W82-'Risk Factors'!$J82</f>
        <v>6.4433999999999997E-4</v>
      </c>
      <c r="X82" s="25">
        <f>'Asset Returns'!X82-'Risk Factors'!$J82</f>
        <v>-1.0214987261132568E-3</v>
      </c>
      <c r="Y82" s="25">
        <f>'Asset Returns'!Y82-'Risk Factors'!$J82</f>
        <v>-7.8410000000000007E-2</v>
      </c>
      <c r="Z82" s="25">
        <f>'Asset Returns'!Z82-'Risk Factors'!$J82</f>
        <v>7.4229799999999999E-2</v>
      </c>
      <c r="AA82" s="25">
        <f>'Asset Returns'!AA82-'Risk Factors'!$J82</f>
        <v>4.7825000000000003E-3</v>
      </c>
      <c r="AB82" s="25">
        <f>'Asset Returns'!AB82-'Risk Factors'!$J82</f>
        <v>1.197962E-2</v>
      </c>
      <c r="AC82" s="25">
        <f>'Asset Returns'!AC82-'Risk Factors'!$J82</f>
        <v>-1.1785000000000002E-2</v>
      </c>
    </row>
    <row r="83" spans="5:29">
      <c r="E83" s="421">
        <f>'Asset Returns'!E83</f>
        <v>42674</v>
      </c>
      <c r="F83" s="25">
        <f>'Asset Returns'!F83-'Risk Factors'!$J83</f>
        <v>2.4349342691898347E-2</v>
      </c>
      <c r="G83" s="25">
        <f>'Asset Returns'!G83-'Risk Factors'!$J83</f>
        <v>-2.7586728674173354E-2</v>
      </c>
      <c r="H83" s="25">
        <f>'Asset Returns'!H83-'Risk Factors'!$J83</f>
        <v>9.8567005574703211E-3</v>
      </c>
      <c r="I83" s="25">
        <f>'Asset Returns'!I83-'Risk Factors'!$J83</f>
        <v>5.1543897502124311E-4</v>
      </c>
      <c r="J83" s="25">
        <f>'Asset Returns'!J83-'Risk Factors'!$J83</f>
        <v>1.3273426923155784E-2</v>
      </c>
      <c r="K83" s="25">
        <f>'Asset Returns'!K83-'Risk Factors'!$J83</f>
        <v>1.4979884620010852E-2</v>
      </c>
      <c r="L83" s="25">
        <f>'Asset Returns'!L83-'Risk Factors'!$J83</f>
        <v>-9.889589031040669E-3</v>
      </c>
      <c r="M83" s="25">
        <f>'Asset Returns'!M83-'Risk Factors'!$J83</f>
        <v>-3.2883473080396651E-2</v>
      </c>
      <c r="N83" s="25">
        <f>'Asset Returns'!N83-'Risk Factors'!$J83</f>
        <v>-1.8515635621547698E-2</v>
      </c>
      <c r="O83" s="25"/>
      <c r="P83" s="421">
        <f>'Asset Returns'!P83</f>
        <v>42674</v>
      </c>
      <c r="Q83" s="25">
        <f>'Asset Returns'!Q83-'Risk Factors'!$J83</f>
        <v>-6.8904905614582063E-3</v>
      </c>
      <c r="R83" s="25">
        <f>'Asset Returns'!R83-'Risk Factors'!$J83</f>
        <v>-3.2305280821573044E-2</v>
      </c>
      <c r="S83" s="260"/>
      <c r="T83" s="421">
        <f>'Asset Returns'!T83</f>
        <v>42674</v>
      </c>
      <c r="U83" s="25">
        <f>'Asset Returns'!U83-'Risk Factors'!$J83</f>
        <v>-2.1614399999999995E-2</v>
      </c>
      <c r="V83" s="25">
        <f>'Asset Returns'!V83-'Risk Factors'!$J83</f>
        <v>-2.8475899999999998E-2</v>
      </c>
      <c r="W83" s="25">
        <f>'Asset Returns'!W83-'Risk Factors'!$J83</f>
        <v>-1.9056779999999999E-2</v>
      </c>
      <c r="X83" s="25">
        <f>'Asset Returns'!X83-'Risk Factors'!$J83</f>
        <v>-4.1506650396466185E-2</v>
      </c>
      <c r="Y83" s="25">
        <f>'Asset Returns'!Y83-'Risk Factors'!$J83</f>
        <v>6.7858099999999991E-2</v>
      </c>
      <c r="Z83" s="25">
        <f>'Asset Returns'!Z83-'Risk Factors'!$J83</f>
        <v>-0.11640110000000001</v>
      </c>
      <c r="AA83" s="25">
        <f>'Asset Returns'!AA83-'Risk Factors'!$J83</f>
        <v>-1.9720099999999997E-2</v>
      </c>
      <c r="AB83" s="25">
        <f>'Asset Returns'!AB83-'Risk Factors'!$J83</f>
        <v>-3.130467E-2</v>
      </c>
      <c r="AC83" s="25">
        <f>'Asset Returns'!AC83-'Risk Factors'!$J83</f>
        <v>-1.67157E-2</v>
      </c>
    </row>
    <row r="84" spans="5:29">
      <c r="E84" s="421">
        <f>'Asset Returns'!E84</f>
        <v>42704</v>
      </c>
      <c r="F84" s="25">
        <f>'Asset Returns'!F84-'Risk Factors'!$J84</f>
        <v>5.024331604838371E-2</v>
      </c>
      <c r="G84" s="25">
        <f>'Asset Returns'!G84-'Risk Factors'!$J84</f>
        <v>-0.17558456788063048</v>
      </c>
      <c r="H84" s="25">
        <f>'Asset Returns'!H84-'Risk Factors'!$J84</f>
        <v>-1.0979273526370525E-2</v>
      </c>
      <c r="I84" s="25">
        <f>'Asset Returns'!I84-'Risk Factors'!$J84</f>
        <v>-0.16566602716445922</v>
      </c>
      <c r="J84" s="25">
        <f>'Asset Returns'!J84-'Risk Factors'!$J84</f>
        <v>8.5176525801420218E-3</v>
      </c>
      <c r="K84" s="25">
        <f>'Asset Returns'!K84-'Risk Factors'!$J84</f>
        <v>-4.376794973611832E-2</v>
      </c>
      <c r="L84" s="25">
        <f>'Asset Returns'!L84-'Risk Factors'!$J84</f>
        <v>-4.3916864490509036E-2</v>
      </c>
      <c r="M84" s="25">
        <f>'Asset Returns'!M84-'Risk Factors'!$J84</f>
        <v>6.4824448728561399E-2</v>
      </c>
      <c r="N84" s="25">
        <f>'Asset Returns'!N84-'Risk Factors'!$J84</f>
        <v>-3.398011455535889E-2</v>
      </c>
      <c r="O84" s="25"/>
      <c r="P84" s="421">
        <f>'Asset Returns'!P84</f>
        <v>42704</v>
      </c>
      <c r="Q84" s="25">
        <f>'Asset Returns'!Q84-'Risk Factors'!$J84</f>
        <v>-5.2164712766367929E-2</v>
      </c>
      <c r="R84" s="25">
        <f>'Asset Returns'!R84-'Risk Factors'!$J84</f>
        <v>-3.2979823508250253E-2</v>
      </c>
      <c r="S84" s="260"/>
      <c r="T84" s="421">
        <f>'Asset Returns'!T84</f>
        <v>42704</v>
      </c>
      <c r="U84" s="25">
        <f>'Asset Returns'!U84-'Risk Factors'!$J84</f>
        <v>-2.8043099999999998E-2</v>
      </c>
      <c r="V84" s="25">
        <f>'Asset Returns'!V84-'Risk Factors'!$J84</f>
        <v>-9.1879299999999997E-2</v>
      </c>
      <c r="W84" s="25">
        <f>'Asset Returns'!W84-'Risk Factors'!$J84</f>
        <v>-4.5654100000000006E-3</v>
      </c>
      <c r="X84" s="25">
        <f>'Asset Returns'!X84-'Risk Factors'!$J84</f>
        <v>-7.1656678642119222E-3</v>
      </c>
      <c r="Y84" s="25">
        <f>'Asset Returns'!Y84-'Risk Factors'!$J84</f>
        <v>-0.174484</v>
      </c>
      <c r="Z84" s="25">
        <f>'Asset Returns'!Z84-'Risk Factors'!$J84</f>
        <v>-0.17961959999999999</v>
      </c>
      <c r="AA84" s="25">
        <f>'Asset Returns'!AA84-'Risk Factors'!$J84</f>
        <v>1.47759E-2</v>
      </c>
      <c r="AB84" s="25">
        <f>'Asset Returns'!AB84-'Risk Factors'!$J84</f>
        <v>-2.6427599999999996E-3</v>
      </c>
      <c r="AC84" s="25">
        <f>'Asset Returns'!AC84-'Risk Factors'!$J84</f>
        <v>0.1174515</v>
      </c>
    </row>
    <row r="85" spans="5:29">
      <c r="E85" s="421">
        <f>'Asset Returns'!E85</f>
        <v>42735</v>
      </c>
      <c r="F85" s="25">
        <f>'Asset Returns'!F85-'Risk Factors'!$J85</f>
        <v>9.8061238837242132E-2</v>
      </c>
      <c r="G85" s="25">
        <f>'Asset Returns'!G85-'Risk Factors'!$J85</f>
        <v>-1.4720942403376102E-2</v>
      </c>
      <c r="H85" s="25">
        <f>'Asset Returns'!H85-'Risk Factors'!$J85</f>
        <v>9.6340869975090032E-2</v>
      </c>
      <c r="I85" s="25">
        <f>'Asset Returns'!I85-'Risk Factors'!$J85</f>
        <v>3.5817672920227049E-2</v>
      </c>
      <c r="J85" s="25">
        <f>'Asset Returns'!J85-'Risk Factors'!$J85</f>
        <v>9.9870585396885873E-3</v>
      </c>
      <c r="K85" s="25">
        <f>'Asset Returns'!K85-'Risk Factors'!$J85</f>
        <v>6.1836262655258177E-2</v>
      </c>
      <c r="L85" s="25">
        <f>'Asset Returns'!L85-'Risk Factors'!$J85</f>
        <v>7.6173520907759674E-4</v>
      </c>
      <c r="M85" s="25">
        <f>'Asset Returns'!M85-'Risk Factors'!$J85</f>
        <v>2.2640050810575484E-2</v>
      </c>
      <c r="N85" s="25">
        <f>'Asset Returns'!N85-'Risk Factors'!$J85</f>
        <v>3.4530275923013685E-2</v>
      </c>
      <c r="O85" s="25"/>
      <c r="P85" s="421">
        <f>'Asset Returns'!P85</f>
        <v>42735</v>
      </c>
      <c r="Q85" s="25">
        <f>'Asset Returns'!Q85-'Risk Factors'!$J85</f>
        <v>2.0914752308015726E-2</v>
      </c>
      <c r="R85" s="25">
        <f>'Asset Returns'!R85-'Risk Factors'!$J85</f>
        <v>-5.4314686756329663E-3</v>
      </c>
      <c r="S85" s="260"/>
      <c r="T85" s="421">
        <f>'Asset Returns'!T85</f>
        <v>42735</v>
      </c>
      <c r="U85" s="25">
        <f>'Asset Returns'!U85-'Risk Factors'!$J85</f>
        <v>4.9479359999999993E-2</v>
      </c>
      <c r="V85" s="25">
        <f>'Asset Returns'!V85-'Risk Factors'!$J85</f>
        <v>4.3049000000000004E-3</v>
      </c>
      <c r="W85" s="25">
        <f>'Asset Returns'!W85-'Risk Factors'!$J85</f>
        <v>1.0488000000000001E-3</v>
      </c>
      <c r="X85" s="25">
        <f>'Asset Returns'!X85-'Risk Factors'!$J85</f>
        <v>1.5367605245154093E-2</v>
      </c>
      <c r="Y85" s="25">
        <f>'Asset Returns'!Y85-'Risk Factors'!$J85</f>
        <v>-3.7089299999999999E-2</v>
      </c>
      <c r="Z85" s="25">
        <f>'Asset Returns'!Z85-'Risk Factors'!$J85</f>
        <v>-1.83473E-2</v>
      </c>
      <c r="AA85" s="25">
        <f>'Asset Returns'!AA85-'Risk Factors'!$J85</f>
        <v>2.3423499999999996E-2</v>
      </c>
      <c r="AB85" s="25">
        <f>'Asset Returns'!AB85-'Risk Factors'!$J85</f>
        <v>1.338898E-2</v>
      </c>
      <c r="AC85" s="25">
        <f>'Asset Returns'!AC85-'Risk Factors'!$J85</f>
        <v>6.6883700000000004E-2</v>
      </c>
    </row>
    <row r="86" spans="5:29">
      <c r="E86" s="421">
        <f>'Asset Returns'!E86</f>
        <v>42766</v>
      </c>
      <c r="F86" s="25">
        <f>'Asset Returns'!F86-'Risk Factors'!$J86</f>
        <v>-1.6029139072847799E-2</v>
      </c>
      <c r="G86" s="25">
        <f>'Asset Returns'!G86-'Risk Factors'!$J86</f>
        <v>7.4409512814592474E-2</v>
      </c>
      <c r="H86" s="25">
        <f>'Asset Returns'!H86-'Risk Factors'!$J86</f>
        <v>-5.565659610632627E-2</v>
      </c>
      <c r="I86" s="25">
        <f>'Asset Returns'!I86-'Risk Factors'!$J86</f>
        <v>0.1092446700507614</v>
      </c>
      <c r="J86" s="25">
        <f>'Asset Returns'!J86-'Risk Factors'!$J86</f>
        <v>-8.57907877744306E-3</v>
      </c>
      <c r="K86" s="25">
        <f>'Asset Returns'!K86-'Risk Factors'!$J86</f>
        <v>-4.1682692025011556E-2</v>
      </c>
      <c r="L86" s="25">
        <f>'Asset Returns'!L86-'Risk Factors'!$J86</f>
        <v>0.10091138714289834</v>
      </c>
      <c r="M86" s="25">
        <f>'Asset Returns'!M86-'Risk Factors'!$J86</f>
        <v>5.0986619984638673E-2</v>
      </c>
      <c r="N86" s="25">
        <f>'Asset Returns'!N86-'Risk Factors'!$J86</f>
        <v>-1.741268075639606E-2</v>
      </c>
      <c r="P86" s="421">
        <f>'Asset Returns'!P86</f>
        <v>42766</v>
      </c>
      <c r="Q86" s="25">
        <f>'Asset Returns'!Q86-'Risk Factors'!$J86</f>
        <v>7.8251194797607563E-5</v>
      </c>
      <c r="R86" s="25">
        <f>'Asset Returns'!R86-'Risk Factors'!$J86</f>
        <v>7.8572030920591295E-3</v>
      </c>
      <c r="S86" s="260"/>
      <c r="T86" s="421">
        <f>'Asset Returns'!T86</f>
        <v>42766</v>
      </c>
      <c r="U86" s="25">
        <f>'Asset Returns'!U86-'Risk Factors'!$J86</f>
        <v>3.3291260000000003E-2</v>
      </c>
      <c r="V86" s="25">
        <f>'Asset Returns'!V86-'Risk Factors'!$J86</f>
        <v>4.2216200000000002E-2</v>
      </c>
      <c r="W86" s="25">
        <f>'Asset Returns'!W86-'Risk Factors'!$J86</f>
        <v>5.8771230000000001E-2</v>
      </c>
      <c r="X86" s="25">
        <f>'Asset Returns'!X86-'Risk Factors'!$J86</f>
        <v>2.4756473327753391E-2</v>
      </c>
      <c r="Y86" s="25">
        <f>'Asset Returns'!Y86-'Risk Factors'!$J86</f>
        <v>6.5037999999999999E-2</v>
      </c>
      <c r="Z86" s="25">
        <f>'Asset Returns'!Z86-'Risk Factors'!$J86</f>
        <v>0.1444819</v>
      </c>
      <c r="AA86" s="25">
        <f>'Asset Returns'!AA86-'Risk Factors'!$J86</f>
        <v>2.3296899999999999E-2</v>
      </c>
      <c r="AB86" s="25">
        <f>'Asset Returns'!AB86-'Risk Factors'!$J86</f>
        <v>2.927474E-2</v>
      </c>
      <c r="AC86" s="25">
        <f>'Asset Returns'!AC86-'Risk Factors'!$J86</f>
        <v>9.7743999999999991E-3</v>
      </c>
    </row>
    <row r="87" spans="5:29">
      <c r="E87" s="421">
        <f>'Asset Returns'!E87</f>
        <v>42794</v>
      </c>
      <c r="F87" s="25">
        <f>'Asset Returns'!F87-'Risk Factors'!$J87</f>
        <v>-8.0324650161463881E-2</v>
      </c>
      <c r="G87" s="25">
        <f>'Asset Returns'!G87-'Risk Factors'!$J87</f>
        <v>6.2901109917651257E-2</v>
      </c>
      <c r="H87" s="25">
        <f>'Asset Returns'!H87-'Risk Factors'!$J87</f>
        <v>-3.4399413455879976E-2</v>
      </c>
      <c r="I87" s="25">
        <f>'Asset Returns'!I87-'Risk Factors'!$J87</f>
        <v>-0.11332641484773236</v>
      </c>
      <c r="J87" s="25">
        <f>'Asset Returns'!J87-'Risk Factors'!$J87</f>
        <v>-2.7743750000000001E-2</v>
      </c>
      <c r="K87" s="25">
        <f>'Asset Returns'!K87-'Risk Factors'!$J87</f>
        <v>3.356707081190731E-2</v>
      </c>
      <c r="L87" s="25">
        <f>'Asset Returns'!L87-'Risk Factors'!$J87</f>
        <v>4.3346811538427191E-2</v>
      </c>
      <c r="M87" s="25">
        <f>'Asset Returns'!M87-'Risk Factors'!$J87</f>
        <v>3.8158666800164734E-2</v>
      </c>
      <c r="N87" s="25">
        <f>'Asset Returns'!N87-'Risk Factors'!$J87</f>
        <v>8.575086291181129E-2</v>
      </c>
      <c r="P87" s="421">
        <f>'Asset Returns'!P87</f>
        <v>42794</v>
      </c>
      <c r="Q87" s="25">
        <f>'Asset Returns'!Q87-'Risk Factors'!$J87</f>
        <v>1.5849448116292474E-2</v>
      </c>
      <c r="R87" s="25">
        <f>'Asset Returns'!R87-'Risk Factors'!$J87</f>
        <v>1.6376799317311574E-2</v>
      </c>
      <c r="S87" s="260"/>
      <c r="T87" s="421">
        <f>'Asset Returns'!T87</f>
        <v>42794</v>
      </c>
      <c r="U87" s="25">
        <f>'Asset Returns'!U87-'Risk Factors'!$J87</f>
        <v>3.3009999999999997E-3</v>
      </c>
      <c r="V87" s="25">
        <f>'Asset Returns'!V87-'Risk Factors'!$J87</f>
        <v>4.4352299999999997E-2</v>
      </c>
      <c r="W87" s="25">
        <f>'Asset Returns'!W87-'Risk Factors'!$J87</f>
        <v>3.6867900000000002E-2</v>
      </c>
      <c r="X87" s="25">
        <f>'Asset Returns'!X87-'Risk Factors'!$J87</f>
        <v>2.6362778864314772E-2</v>
      </c>
      <c r="Y87" s="25">
        <f>'Asset Returns'!Y87-'Risk Factors'!$J87</f>
        <v>4.4222700000000004E-2</v>
      </c>
      <c r="Z87" s="25">
        <f>'Asset Returns'!Z87-'Risk Factors'!$J87</f>
        <v>-3.0661300000000002E-2</v>
      </c>
      <c r="AA87" s="25">
        <f>'Asset Returns'!AA87-'Risk Factors'!$J87</f>
        <v>2.70304E-2</v>
      </c>
      <c r="AB87" s="25">
        <f>'Asset Returns'!AB87-'Risk Factors'!$J87</f>
        <v>1.4880480000000001E-2</v>
      </c>
      <c r="AC87" s="25">
        <f>'Asset Returns'!AC87-'Risk Factors'!$J87</f>
        <v>0.1035568</v>
      </c>
    </row>
    <row r="88" spans="5:29">
      <c r="E88" s="421">
        <f>'Asset Returns'!E88</f>
        <v>42825</v>
      </c>
      <c r="F88" s="25">
        <f>'Asset Returns'!F88-'Risk Factors'!$J88</f>
        <v>-1.0244428195378663E-2</v>
      </c>
      <c r="G88" s="25">
        <f>'Asset Returns'!G88-'Risk Factors'!$J88</f>
        <v>9.563238601926069E-2</v>
      </c>
      <c r="H88" s="25">
        <f>'Asset Returns'!H88-'Risk Factors'!$J88</f>
        <v>1.3424163588949789E-2</v>
      </c>
      <c r="I88" s="25">
        <f>'Asset Returns'!I88-'Risk Factors'!$J88</f>
        <v>4.7585663768970186E-2</v>
      </c>
      <c r="J88" s="25">
        <f>'Asset Returns'!J88-'Risk Factors'!$J88</f>
        <v>-2.9974252565818794E-2</v>
      </c>
      <c r="K88" s="25">
        <f>'Asset Returns'!K88-'Risk Factors'!$J88</f>
        <v>6.2470908427248305E-2</v>
      </c>
      <c r="L88" s="25">
        <f>'Asset Returns'!L88-'Risk Factors'!$J88</f>
        <v>9.9327954737172569E-2</v>
      </c>
      <c r="M88" s="25">
        <f>'Asset Returns'!M88-'Risk Factors'!$J88</f>
        <v>-3.1885524788888321E-2</v>
      </c>
      <c r="N88" s="25">
        <f>'Asset Returns'!N88-'Risk Factors'!$J88</f>
        <v>1.8847405769476043E-2</v>
      </c>
      <c r="P88" s="421">
        <f>'Asset Returns'!P88</f>
        <v>42825</v>
      </c>
      <c r="Q88" s="25">
        <f>'Asset Returns'!Q88-'Risk Factors'!$J88</f>
        <v>1.1717534690464293E-2</v>
      </c>
      <c r="R88" s="25">
        <f>'Asset Returns'!R88-'Risk Factors'!$J88</f>
        <v>-9.2684325236404349E-3</v>
      </c>
      <c r="S88" s="260"/>
      <c r="T88" s="421">
        <f>'Asset Returns'!T88</f>
        <v>42825</v>
      </c>
      <c r="U88" s="25">
        <f>'Asset Returns'!U88-'Risk Factors'!$J88</f>
        <v>3.4835079999999997E-2</v>
      </c>
      <c r="V88" s="25">
        <f>'Asset Returns'!V88-'Risk Factors'!$J88</f>
        <v>-1.0919499999999999E-2</v>
      </c>
      <c r="W88" s="25">
        <f>'Asset Returns'!W88-'Risk Factors'!$J88</f>
        <v>1.8950789999999999E-2</v>
      </c>
      <c r="X88" s="25">
        <f>'Asset Returns'!X88-'Risk Factors'!$J88</f>
        <v>1.5723878842512216E-2</v>
      </c>
      <c r="Y88" s="25">
        <f>'Asset Returns'!Y88-'Risk Factors'!$J88</f>
        <v>1.4338800000000001E-2</v>
      </c>
      <c r="Z88" s="25">
        <f>'Asset Returns'!Z88-'Risk Factors'!$J88</f>
        <v>-4.9945400000000008E-2</v>
      </c>
      <c r="AA88" s="25">
        <f>'Asset Returns'!AA88-'Risk Factors'!$J88</f>
        <v>1.0471299999999999E-2</v>
      </c>
      <c r="AB88" s="25">
        <f>'Asset Returns'!AB88-'Risk Factors'!$J88</f>
        <v>1.854374E-2</v>
      </c>
      <c r="AC88" s="25">
        <f>'Asset Returns'!AC88-'Risk Factors'!$J88</f>
        <v>-1.5695900000000002E-2</v>
      </c>
    </row>
    <row r="89" spans="5:29">
      <c r="E89" s="421">
        <f>'Asset Returns'!E89</f>
        <v>42855</v>
      </c>
      <c r="F89" s="25">
        <f>'Asset Returns'!F89-'Risk Factors'!$J89</f>
        <v>5.6516248153618942E-2</v>
      </c>
      <c r="G89" s="25">
        <f>'Asset Returns'!G89-'Risk Factors'!$J89</f>
        <v>7.33316895566411E-2</v>
      </c>
      <c r="H89" s="25">
        <f>'Asset Returns'!H89-'Risk Factors'!$J89</f>
        <v>9.6594112259651855E-5</v>
      </c>
      <c r="I89" s="25">
        <f>'Asset Returns'!I89-'Risk Factors'!$J89</f>
        <v>-6.1242969628796939E-3</v>
      </c>
      <c r="J89" s="25">
        <f>'Asset Returns'!J89-'Risk Factors'!$J89</f>
        <v>-2.1095654173373664E-3</v>
      </c>
      <c r="K89" s="25">
        <f>'Asset Returns'!K89-'Risk Factors'!$J89</f>
        <v>7.4786301531592325E-2</v>
      </c>
      <c r="L89" s="25">
        <f>'Asset Returns'!L89-'Risk Factors'!$J89</f>
        <v>2.7241522313600164E-2</v>
      </c>
      <c r="M89" s="25">
        <f>'Asset Returns'!M89-'Risk Factors'!$J89</f>
        <v>-8.0033513507534459E-2</v>
      </c>
      <c r="N89" s="25">
        <f>'Asset Returns'!N89-'Risk Factors'!$J89</f>
        <v>-9.1712955011981623E-3</v>
      </c>
      <c r="P89" s="421">
        <f>'Asset Returns'!P89</f>
        <v>42855</v>
      </c>
      <c r="Q89" s="25">
        <f>'Asset Returns'!Q89-'Risk Factors'!$J89</f>
        <v>7.5919258267031497E-3</v>
      </c>
      <c r="R89" s="25">
        <f>'Asset Returns'!R89-'Risk Factors'!$J89</f>
        <v>1.5377801671581037E-2</v>
      </c>
      <c r="S89" s="260"/>
      <c r="T89" s="421">
        <f>'Asset Returns'!T89</f>
        <v>42855</v>
      </c>
      <c r="U89" s="25">
        <f>'Asset Returns'!U89-'Risk Factors'!$J89</f>
        <v>3.954498E-2</v>
      </c>
      <c r="V89" s="25">
        <f>'Asset Returns'!V89-'Risk Factors'!$J89</f>
        <v>-6.0572999999999998E-3</v>
      </c>
      <c r="W89" s="25">
        <f>'Asset Returns'!W89-'Risk Factors'!$J89</f>
        <v>3.1732660000000003E-2</v>
      </c>
      <c r="X89" s="25">
        <f>'Asset Returns'!X89-'Risk Factors'!$J89</f>
        <v>3.0043142432466696E-2</v>
      </c>
      <c r="Y89" s="25">
        <f>'Asset Returns'!Y89-'Risk Factors'!$J89</f>
        <v>6.5725199999999998E-2</v>
      </c>
      <c r="Z89" s="25">
        <f>'Asset Returns'!Z89-'Risk Factors'!$J89</f>
        <v>-7.0649299999999998E-2</v>
      </c>
      <c r="AA89" s="25">
        <f>'Asset Returns'!AA89-'Risk Factors'!$J89</f>
        <v>1.4295E-2</v>
      </c>
      <c r="AB89" s="25">
        <f>'Asset Returns'!AB89-'Risk Factors'!$J89</f>
        <v>2.6010149999999999E-2</v>
      </c>
      <c r="AC89" s="25">
        <f>'Asset Returns'!AC89-'Risk Factors'!$J89</f>
        <v>2.6140199999999999E-2</v>
      </c>
    </row>
    <row r="90" spans="5:29">
      <c r="E90" s="421">
        <f>'Asset Returns'!E90</f>
        <v>42886</v>
      </c>
      <c r="F90" s="25">
        <f>'Asset Returns'!F90-'Risk Factors'!$J90</f>
        <v>-0.11742504192286192</v>
      </c>
      <c r="G90" s="25">
        <f>'Asset Returns'!G90-'Risk Factors'!$J90</f>
        <v>3.2618884120171707E-2</v>
      </c>
      <c r="H90" s="25">
        <f>'Asset Returns'!H90-'Risk Factors'!$J90</f>
        <v>6.9709344139078075E-2</v>
      </c>
      <c r="I90" s="25">
        <f>'Asset Returns'!I90-'Risk Factors'!$J90</f>
        <v>3.3902262443438788E-2</v>
      </c>
      <c r="J90" s="25">
        <f>'Asset Returns'!J90-'Risk Factors'!$J90</f>
        <v>-9.8123445416858461E-3</v>
      </c>
      <c r="K90" s="25">
        <f>'Asset Returns'!K90-'Risk Factors'!$J90</f>
        <v>4.5699115141412713E-2</v>
      </c>
      <c r="L90" s="25">
        <f>'Asset Returns'!L90-'Risk Factors'!$J90</f>
        <v>6.0114851393121269E-2</v>
      </c>
      <c r="M90" s="25">
        <f>'Asset Returns'!M90-'Risk Factors'!$J90</f>
        <v>-3.9058149073896112E-2</v>
      </c>
      <c r="N90" s="25">
        <f>'Asset Returns'!N90-'Risk Factors'!$J90</f>
        <v>4.4955604137053726E-2</v>
      </c>
      <c r="P90" s="421">
        <f>'Asset Returns'!P90</f>
        <v>42886</v>
      </c>
      <c r="Q90" s="25">
        <f>'Asset Returns'!Q90-'Risk Factors'!$J90</f>
        <v>1.371215220189408E-2</v>
      </c>
      <c r="R90" s="25">
        <f>'Asset Returns'!R90-'Risk Factors'!$J90</f>
        <v>5.0461471045234615E-2</v>
      </c>
      <c r="S90" s="260"/>
      <c r="T90" s="421">
        <f>'Asset Returns'!T90</f>
        <v>42886</v>
      </c>
      <c r="U90" s="25">
        <f>'Asset Returns'!U90-'Risk Factors'!$J90</f>
        <v>5.516182E-2</v>
      </c>
      <c r="V90" s="25">
        <f>'Asset Returns'!V90-'Risk Factors'!$J90</f>
        <v>1.9703300000000003E-2</v>
      </c>
      <c r="W90" s="25">
        <f>'Asset Returns'!W90-'Risk Factors'!$J90</f>
        <v>3.4763249999999996E-2</v>
      </c>
      <c r="X90" s="25">
        <f>'Asset Returns'!X90-'Risk Factors'!$J90</f>
        <v>3.2849751497745647E-2</v>
      </c>
      <c r="Y90" s="25">
        <f>'Asset Returns'!Y90-'Risk Factors'!$J90</f>
        <v>7.3046899999999998E-2</v>
      </c>
      <c r="Z90" s="25">
        <f>'Asset Returns'!Z90-'Risk Factors'!$J90</f>
        <v>-2.3071899999999999E-2</v>
      </c>
      <c r="AA90" s="25">
        <f>'Asset Returns'!AA90-'Risk Factors'!$J90</f>
        <v>2.0891799999999999E-2</v>
      </c>
      <c r="AB90" s="25">
        <f>'Asset Returns'!AB90-'Risk Factors'!$J90</f>
        <v>2.947058E-2</v>
      </c>
      <c r="AC90" s="25">
        <f>'Asset Returns'!AC90-'Risk Factors'!$J90</f>
        <v>1.09239E-2</v>
      </c>
    </row>
    <row r="91" spans="5:29">
      <c r="E91" s="421">
        <f>'Asset Returns'!E91</f>
        <v>42916</v>
      </c>
      <c r="F91" s="25">
        <f>'Asset Returns'!F91-'Risk Factors'!$J91</f>
        <v>-5.7245569620253248E-2</v>
      </c>
      <c r="G91" s="25">
        <f>'Asset Returns'!G91-'Risk Factors'!$J91</f>
        <v>3.5843189055966215E-2</v>
      </c>
      <c r="H91" s="25">
        <f>'Asset Returns'!H91-'Risk Factors'!$J91</f>
        <v>-4.5931352636101333E-2</v>
      </c>
      <c r="I91" s="25">
        <f>'Asset Returns'!I91-'Risk Factors'!$J91</f>
        <v>-9.3820338983050713E-2</v>
      </c>
      <c r="J91" s="25">
        <f>'Asset Returns'!J91-'Risk Factors'!$J91</f>
        <v>-2.2915202231520281E-2</v>
      </c>
      <c r="K91" s="25">
        <f>'Asset Returns'!K91-'Risk Factors'!$J91</f>
        <v>1.916122262077536E-3</v>
      </c>
      <c r="L91" s="25">
        <f>'Asset Returns'!L91-'Risk Factors'!$J91</f>
        <v>-3.5605474196138236E-3</v>
      </c>
      <c r="M91" s="25">
        <f>'Asset Returns'!M91-'Risk Factors'!$J91</f>
        <v>7.2651264127442834E-3</v>
      </c>
      <c r="N91" s="25">
        <f>'Asset Returns'!N91-'Risk Factors'!$J91</f>
        <v>3.0901008373126638E-2</v>
      </c>
      <c r="P91" s="421">
        <f>'Asset Returns'!P91</f>
        <v>42916</v>
      </c>
      <c r="Q91" s="25">
        <f>'Asset Returns'!Q91-'Risk Factors'!$J91</f>
        <v>1.8339872218995513E-2</v>
      </c>
      <c r="R91" s="25">
        <f>'Asset Returns'!R91-'Risk Factors'!$J91</f>
        <v>4.3706206008761635E-3</v>
      </c>
      <c r="S91" s="260"/>
      <c r="T91" s="421">
        <f>'Asset Returns'!T91</f>
        <v>42916</v>
      </c>
      <c r="U91" s="25">
        <f>'Asset Returns'!U91-'Risk Factors'!$J91</f>
        <v>-1.315445E-2</v>
      </c>
      <c r="V91" s="25">
        <f>'Asset Returns'!V91-'Risk Factors'!$J91</f>
        <v>1.7642000000000001E-3</v>
      </c>
      <c r="W91" s="25">
        <f>'Asset Returns'!W91-'Risk Factors'!$J91</f>
        <v>1.8210480000000001E-2</v>
      </c>
      <c r="X91" s="25">
        <f>'Asset Returns'!X91-'Risk Factors'!$J91</f>
        <v>2.7566511785567689E-3</v>
      </c>
      <c r="Y91" s="25">
        <f>'Asset Returns'!Y91-'Risk Factors'!$J91</f>
        <v>1.2595000000000002E-3</v>
      </c>
      <c r="Z91" s="25">
        <f>'Asset Returns'!Z91-'Risk Factors'!$J91</f>
        <v>2.40305E-2</v>
      </c>
      <c r="AA91" s="25">
        <f>'Asset Returns'!AA91-'Risk Factors'!$J91</f>
        <v>3.2034000000000003E-3</v>
      </c>
      <c r="AB91" s="25">
        <f>'Asset Returns'!AB91-'Risk Factors'!$J91</f>
        <v>-1.1895949999999999E-2</v>
      </c>
      <c r="AC91" s="25">
        <f>'Asset Returns'!AC91-'Risk Factors'!$J91</f>
        <v>3.1267399999999994E-2</v>
      </c>
    </row>
    <row r="92" spans="5:29">
      <c r="E92" s="421">
        <f>'Asset Returns'!E92</f>
        <v>42947</v>
      </c>
      <c r="F92" s="25">
        <f>'Asset Returns'!F92-'Risk Factors'!$J92</f>
        <v>2.9155753102985495E-2</v>
      </c>
      <c r="G92" s="25">
        <f>'Asset Returns'!G92-'Risk Factors'!$J92</f>
        <v>5.5115320490555154E-2</v>
      </c>
      <c r="H92" s="25">
        <f>'Asset Returns'!H92-'Risk Factors'!$J92</f>
        <v>2.1111944627744718E-2</v>
      </c>
      <c r="I92" s="25">
        <f>'Asset Returns'!I92-'Risk Factors'!$J92</f>
        <v>3.5025052758516674E-2</v>
      </c>
      <c r="J92" s="25">
        <f>'Asset Returns'!J92-'Risk Factors'!$J92</f>
        <v>7.5144032334759775E-2</v>
      </c>
      <c r="K92" s="25">
        <f>'Asset Returns'!K92-'Risk Factors'!$J92</f>
        <v>7.5736121241533866E-2</v>
      </c>
      <c r="L92" s="25">
        <f>'Asset Returns'!L92-'Risk Factors'!$J92</f>
        <v>3.5004028448610315E-2</v>
      </c>
      <c r="M92" s="25">
        <f>'Asset Returns'!M92-'Risk Factors'!$J92</f>
        <v>-6.0249052431438042E-2</v>
      </c>
      <c r="N92" s="25">
        <f>'Asset Returns'!N92-'Risk Factors'!$J92</f>
        <v>2.5509454514300095E-3</v>
      </c>
      <c r="P92" s="421">
        <f>'Asset Returns'!P92</f>
        <v>42947</v>
      </c>
      <c r="Q92" s="25">
        <f>'Asset Returns'!Q92-'Risk Factors'!$J92</f>
        <v>-4.9243599593536906E-4</v>
      </c>
      <c r="R92" s="25">
        <f>'Asset Returns'!R92-'Risk Factors'!$J92</f>
        <v>1.3460454853478389E-2</v>
      </c>
      <c r="S92" s="260"/>
      <c r="T92" s="421">
        <f>'Asset Returns'!T92</f>
        <v>42947</v>
      </c>
      <c r="U92" s="25">
        <f>'Asset Returns'!U92-'Risk Factors'!$J92</f>
        <v>1.3061460000000002E-2</v>
      </c>
      <c r="V92" s="25">
        <f>'Asset Returns'!V92-'Risk Factors'!$J92</f>
        <v>5.3467500000000008E-2</v>
      </c>
      <c r="W92" s="25">
        <f>'Asset Returns'!W92-'Risk Factors'!$J92</f>
        <v>1.7912750000000002E-2</v>
      </c>
      <c r="X92" s="25">
        <f>'Asset Returns'!X92-'Risk Factors'!$J92</f>
        <v>2.069501241351316E-2</v>
      </c>
      <c r="Y92" s="25">
        <f>'Asset Returns'!Y92-'Risk Factors'!$J92</f>
        <v>-5.0813399999999995E-2</v>
      </c>
      <c r="Z92" s="25">
        <f>'Asset Returns'!Z92-'Risk Factors'!$J92</f>
        <v>4.2569200000000001E-2</v>
      </c>
      <c r="AA92" s="25">
        <f>'Asset Returns'!AA92-'Risk Factors'!$J92</f>
        <v>2.2935799999999999E-2</v>
      </c>
      <c r="AB92" s="25">
        <f>'Asset Returns'!AB92-'Risk Factors'!$J92</f>
        <v>2.43296E-2</v>
      </c>
      <c r="AC92" s="25">
        <f>'Asset Returns'!AC92-'Risk Factors'!$J92</f>
        <v>5.0786100000000001E-2</v>
      </c>
    </row>
    <row r="93" spans="5:29">
      <c r="E93" s="421">
        <f>'Asset Returns'!E93</f>
        <v>42978</v>
      </c>
      <c r="F93" s="25">
        <f>'Asset Returns'!F93-'Risk Factors'!$J93</f>
        <v>5.1868729641693881E-2</v>
      </c>
      <c r="G93" s="25">
        <f>'Asset Returns'!G93-'Risk Factors'!$J93</f>
        <v>-6.6518989776293211E-2</v>
      </c>
      <c r="H93" s="25">
        <f>'Asset Returns'!H93-'Risk Factors'!$J93</f>
        <v>-8.6802185151403245E-3</v>
      </c>
      <c r="I93" s="25">
        <f>'Asset Returns'!I93-'Risk Factors'!$J93</f>
        <v>-0.15095093872798715</v>
      </c>
      <c r="J93" s="25">
        <f>'Asset Returns'!J93-'Risk Factors'!$J93</f>
        <v>-5.0988950276242718E-3</v>
      </c>
      <c r="K93" s="25">
        <f>'Asset Returns'!K93-'Risk Factors'!$J93</f>
        <v>-1.1205405088832486E-2</v>
      </c>
      <c r="L93" s="25">
        <f>'Asset Returns'!L93-'Risk Factors'!$J93</f>
        <v>5.8284951105119234E-2</v>
      </c>
      <c r="M93" s="25">
        <f>'Asset Returns'!M93-'Risk Factors'!$J93</f>
        <v>-1.8009880102669454E-3</v>
      </c>
      <c r="N93" s="25">
        <f>'Asset Returns'!N93-'Risk Factors'!$J93</f>
        <v>2.8245665854910295E-3</v>
      </c>
      <c r="P93" s="421">
        <f>'Asset Returns'!P93</f>
        <v>42978</v>
      </c>
      <c r="Q93" s="25">
        <f>'Asset Returns'!Q93-'Risk Factors'!$J93</f>
        <v>2.2491015892386456E-2</v>
      </c>
      <c r="R93" s="25">
        <f>'Asset Returns'!R93-'Risk Factors'!$J93</f>
        <v>1.344572337729545E-2</v>
      </c>
      <c r="S93" s="260"/>
      <c r="T93" s="421">
        <f>'Asset Returns'!T93</f>
        <v>42978</v>
      </c>
      <c r="U93" s="25">
        <f>'Asset Returns'!U93-'Risk Factors'!$J93</f>
        <v>-6.9414599999999991E-3</v>
      </c>
      <c r="V93" s="25">
        <f>'Asset Returns'!V93-'Risk Factors'!$J93</f>
        <v>5.5088000000000003E-3</v>
      </c>
      <c r="W93" s="25">
        <f>'Asset Returns'!W93-'Risk Factors'!$J93</f>
        <v>1.0606400000000001E-3</v>
      </c>
      <c r="X93" s="25">
        <f>'Asset Returns'!X93-'Risk Factors'!$J93</f>
        <v>-3.8575633174585556E-3</v>
      </c>
      <c r="Y93" s="25">
        <f>'Asset Returns'!Y93-'Risk Factors'!$J93</f>
        <v>0.11351599999999999</v>
      </c>
      <c r="Z93" s="25">
        <f>'Asset Returns'!Z93-'Risk Factors'!$J93</f>
        <v>2.6749799999999997E-2</v>
      </c>
      <c r="AA93" s="25">
        <f>'Asset Returns'!AA93-'Risk Factors'!$J93</f>
        <v>2.5559999999999992E-4</v>
      </c>
      <c r="AB93" s="25">
        <f>'Asset Returns'!AB93-'Risk Factors'!$J93</f>
        <v>5.2289800000000011E-3</v>
      </c>
      <c r="AC93" s="25">
        <f>'Asset Returns'!AC93-'Risk Factors'!$J93</f>
        <v>8.7419999999999998E-3</v>
      </c>
    </row>
    <row r="94" spans="5:29">
      <c r="E94" s="421">
        <f>'Asset Returns'!E94</f>
        <v>43008</v>
      </c>
      <c r="F94" s="25">
        <f>'Asset Returns'!F94-'Risk Factors'!$J94</f>
        <v>4.427326732673266E-2</v>
      </c>
      <c r="G94" s="25">
        <f>'Asset Returns'!G94-'Risk Factors'!$J94</f>
        <v>-1.4062527421932135E-2</v>
      </c>
      <c r="H94" s="25">
        <f>'Asset Returns'!H94-'Risk Factors'!$J94</f>
        <v>0.1155078729537088</v>
      </c>
      <c r="I94" s="25">
        <f>'Asset Returns'!I94-'Risk Factors'!$J94</f>
        <v>4.2593150684931427E-2</v>
      </c>
      <c r="J94" s="25">
        <f>'Asset Returns'!J94-'Risk Factors'!$J94</f>
        <v>7.5886506879716001E-2</v>
      </c>
      <c r="K94" s="25">
        <f>'Asset Returns'!K94-'Risk Factors'!$J94</f>
        <v>9.2037309353353206E-2</v>
      </c>
      <c r="L94" s="25">
        <f>'Asset Returns'!L94-'Risk Factors'!$J94</f>
        <v>-3.9440891948283471E-2</v>
      </c>
      <c r="M94" s="25">
        <f>'Asset Returns'!M94-'Risk Factors'!$J94</f>
        <v>1.3436428781953403E-2</v>
      </c>
      <c r="N94" s="25">
        <f>'Asset Returns'!N94-'Risk Factors'!$J94</f>
        <v>-1.8728290846498064E-2</v>
      </c>
      <c r="P94" s="421">
        <f>'Asset Returns'!P94</f>
        <v>43008</v>
      </c>
      <c r="Q94" s="25">
        <f>'Asset Returns'!Q94-'Risk Factors'!$J94</f>
        <v>-5.7333741915371762E-3</v>
      </c>
      <c r="R94" s="25">
        <f>'Asset Returns'!R94-'Risk Factors'!$J94</f>
        <v>-2.906516709511563E-2</v>
      </c>
      <c r="S94" s="260"/>
      <c r="T94" s="421">
        <f>'Asset Returns'!T94</f>
        <v>43008</v>
      </c>
      <c r="U94" s="25">
        <f>'Asset Returns'!U94-'Risk Factors'!$J94</f>
        <v>3.6819710000000005E-2</v>
      </c>
      <c r="V94" s="25">
        <f>'Asset Returns'!V94-'Risk Factors'!$J94</f>
        <v>-1.5143200000000001E-2</v>
      </c>
      <c r="W94" s="25">
        <f>'Asset Returns'!W94-'Risk Factors'!$J94</f>
        <v>1.6261999999999999E-2</v>
      </c>
      <c r="X94" s="25">
        <f>'Asset Returns'!X94-'Risk Factors'!$J94</f>
        <v>1.1909107812733478E-2</v>
      </c>
      <c r="Y94" s="25">
        <f>'Asset Returns'!Y94-'Risk Factors'!$J94</f>
        <v>-0.17818420000000001</v>
      </c>
      <c r="Z94" s="25">
        <f>'Asset Returns'!Z94-'Risk Factors'!$J94</f>
        <v>-3.37849E-2</v>
      </c>
      <c r="AA94" s="25">
        <f>'Asset Returns'!AA94-'Risk Factors'!$J94</f>
        <v>2.1537899999999999E-2</v>
      </c>
      <c r="AB94" s="25">
        <f>'Asset Returns'!AB94-'Risk Factors'!$J94</f>
        <v>2.6084989999999999E-2</v>
      </c>
      <c r="AC94" s="25">
        <f>'Asset Returns'!AC94-'Risk Factors'!$J94</f>
        <v>3.9890600000000005E-2</v>
      </c>
    </row>
    <row r="95" spans="5:29">
      <c r="E95" s="421">
        <f>'Asset Returns'!E95</f>
        <v>43039</v>
      </c>
      <c r="F95" s="25">
        <f>'Asset Returns'!F95-'Risk Factors'!$J95</f>
        <v>1.5381823564239018E-2</v>
      </c>
      <c r="G95" s="25">
        <f>'Asset Returns'!G95-'Risk Factors'!$J95</f>
        <v>-1.8025449405823724E-2</v>
      </c>
      <c r="H95" s="25">
        <f>'Asset Returns'!H95-'Risk Factors'!$J95</f>
        <v>5.711395242991503E-2</v>
      </c>
      <c r="I95" s="25">
        <f>'Asset Returns'!I95-'Risk Factors'!$J95</f>
        <v>7.5076370200196765E-2</v>
      </c>
      <c r="J95" s="25">
        <f>'Asset Returns'!J95-'Risk Factors'!$J95</f>
        <v>3.1045589447650356E-2</v>
      </c>
      <c r="K95" s="25">
        <f>'Asset Returns'!K95-'Risk Factors'!$J95</f>
        <v>-1.4785341729374834E-2</v>
      </c>
      <c r="L95" s="25">
        <f>'Asset Returns'!L95-'Risk Factors'!$J95</f>
        <v>0.17325211092759207</v>
      </c>
      <c r="M95" s="25">
        <f>'Asset Returns'!M95-'Risk Factors'!$J95</f>
        <v>6.0995551257253214E-2</v>
      </c>
      <c r="N95" s="25">
        <f>'Asset Returns'!N95-'Risk Factors'!$J95</f>
        <v>7.1402136851622347E-2</v>
      </c>
      <c r="P95" s="421">
        <f>'Asset Returns'!P95</f>
        <v>43039</v>
      </c>
      <c r="Q95" s="25">
        <f>'Asset Returns'!Q95-'Risk Factors'!$J95</f>
        <v>-4.5902120955930632E-4</v>
      </c>
      <c r="R95" s="25">
        <f>'Asset Returns'!R95-'Risk Factors'!$J95</f>
        <v>-9.9919486831877486E-4</v>
      </c>
      <c r="S95" s="260"/>
      <c r="T95" s="421">
        <f>'Asset Returns'!T95</f>
        <v>43039</v>
      </c>
      <c r="U95" s="25">
        <f>'Asset Returns'!U95-'Risk Factors'!$J95</f>
        <v>-1.4064699999999999E-3</v>
      </c>
      <c r="V95" s="25">
        <f>'Asset Returns'!V95-'Risk Factors'!$J95</f>
        <v>3.6522100000000002E-2</v>
      </c>
      <c r="W95" s="25">
        <f>'Asset Returns'!W95-'Risk Factors'!$J95</f>
        <v>2.5416989999999997E-2</v>
      </c>
      <c r="X95" s="25">
        <f>'Asset Returns'!X95-'Risk Factors'!$J95</f>
        <v>2.0657837404175382E-2</v>
      </c>
      <c r="Y95" s="25">
        <f>'Asset Returns'!Y95-'Risk Factors'!$J95</f>
        <v>1.4728699999999999E-2</v>
      </c>
      <c r="Z95" s="25">
        <f>'Asset Returns'!Z95-'Risk Factors'!$J95</f>
        <v>-0.1029093</v>
      </c>
      <c r="AA95" s="25">
        <f>'Asset Returns'!AA95-'Risk Factors'!$J95</f>
        <v>1.7703799999999999E-2</v>
      </c>
      <c r="AB95" s="25">
        <f>'Asset Returns'!AB95-'Risk Factors'!$J95</f>
        <v>2.1311509999999999E-2</v>
      </c>
      <c r="AC95" s="25">
        <f>'Asset Returns'!AC95-'Risk Factors'!$J95</f>
        <v>8.6588399999999996E-2</v>
      </c>
    </row>
    <row r="96" spans="5:29">
      <c r="E96" s="421">
        <f>'Asset Returns'!E96</f>
        <v>43069</v>
      </c>
      <c r="F96" s="25">
        <f>'Asset Returns'!F96-'Risk Factors'!$J96</f>
        <v>4.755420914651922E-2</v>
      </c>
      <c r="G96" s="25">
        <f>'Asset Returns'!G96-'Risk Factors'!$J96</f>
        <v>-0.27399688381314047</v>
      </c>
      <c r="H96" s="25">
        <f>'Asset Returns'!H96-'Risk Factors'!$J96</f>
        <v>-9.4684408094191982E-3</v>
      </c>
      <c r="I96" s="25">
        <f>'Asset Returns'!I96-'Risk Factors'!$J96</f>
        <v>-5.3110507854201551E-2</v>
      </c>
      <c r="J96" s="25">
        <f>'Asset Returns'!J96-'Risk Factors'!$J96</f>
        <v>2.2367565408428238E-2</v>
      </c>
      <c r="K96" s="25">
        <f>'Asset Returns'!K96-'Risk Factors'!$J96</f>
        <v>-4.5489531142194652E-2</v>
      </c>
      <c r="L96" s="25">
        <f>'Asset Returns'!L96-'Risk Factors'!$J96</f>
        <v>3.5224157437931412E-2</v>
      </c>
      <c r="M96" s="25">
        <f>'Asset Returns'!M96-'Risk Factors'!$J96</f>
        <v>8.5892687070662447E-3</v>
      </c>
      <c r="N96" s="25">
        <f>'Asset Returns'!N96-'Risk Factors'!$J96</f>
        <v>4.70537988058819E-3</v>
      </c>
      <c r="P96" s="421">
        <f>'Asset Returns'!P96</f>
        <v>43069</v>
      </c>
      <c r="Q96" s="25">
        <f>'Asset Returns'!Q96-'Risk Factors'!$J96</f>
        <v>-1.1482182278034636E-2</v>
      </c>
      <c r="R96" s="25">
        <f>'Asset Returns'!R96-'Risk Factors'!$J96</f>
        <v>3.2499713959755948E-2</v>
      </c>
      <c r="S96" s="260"/>
      <c r="T96" s="421">
        <f>'Asset Returns'!T96</f>
        <v>43069</v>
      </c>
      <c r="U96" s="25">
        <f>'Asset Returns'!U96-'Risk Factors'!$J96</f>
        <v>1.6915940000000001E-2</v>
      </c>
      <c r="V96" s="25">
        <f>'Asset Returns'!V96-'Risk Factors'!$J96</f>
        <v>-4.2830399999999998E-2</v>
      </c>
      <c r="W96" s="25">
        <f>'Asset Returns'!W96-'Risk Factors'!$J96</f>
        <v>2.7524680000000003E-2</v>
      </c>
      <c r="X96" s="25">
        <f>'Asset Returns'!X96-'Risk Factors'!$J96</f>
        <v>1.7330012740723346E-2</v>
      </c>
      <c r="Y96" s="25">
        <f>'Asset Returns'!Y96-'Risk Factors'!$J96</f>
        <v>-4.34673E-2</v>
      </c>
      <c r="Z96" s="25">
        <f>'Asset Returns'!Z96-'Risk Factors'!$J96</f>
        <v>-2.8338699999999998E-2</v>
      </c>
      <c r="AA96" s="25">
        <f>'Asset Returns'!AA96-'Risk Factors'!$J96</f>
        <v>2.0900400000000003E-2</v>
      </c>
      <c r="AB96" s="25">
        <f>'Asset Returns'!AB96-'Risk Factors'!$J96</f>
        <v>-1.2628800000000001E-3</v>
      </c>
      <c r="AC96" s="25">
        <f>'Asset Returns'!AC96-'Risk Factors'!$J96</f>
        <v>8.1939200000000004E-2</v>
      </c>
    </row>
    <row r="97" spans="5:29">
      <c r="E97" s="421">
        <f>'Asset Returns'!E97</f>
        <v>43100</v>
      </c>
      <c r="F97" s="25">
        <f>'Asset Returns'!F97-'Risk Factors'!$J97</f>
        <v>1.0449847179773272E-3</v>
      </c>
      <c r="G97" s="25">
        <f>'Asset Returns'!G97-'Risk Factors'!$J97</f>
        <v>7.7704633293633876E-2</v>
      </c>
      <c r="H97" s="25">
        <f>'Asset Returns'!H97-'Risk Factors'!$J97</f>
        <v>6.7087273362174474E-2</v>
      </c>
      <c r="I97" s="25">
        <f>'Asset Returns'!I97-'Risk Factors'!$J97</f>
        <v>7.8597907949790838E-2</v>
      </c>
      <c r="J97" s="25">
        <f>'Asset Returns'!J97-'Risk Factors'!$J97</f>
        <v>1.6277435096623171E-2</v>
      </c>
      <c r="K97" s="25">
        <f>'Asset Returns'!K97-'Risk Factors'!$J97</f>
        <v>-2.7342724780511574E-2</v>
      </c>
      <c r="L97" s="25">
        <f>'Asset Returns'!L97-'Risk Factors'!$J97</f>
        <v>-3.523065703558291E-2</v>
      </c>
      <c r="M97" s="25">
        <f>'Asset Returns'!M97-'Risk Factors'!$J97</f>
        <v>-4.4726857452672564E-3</v>
      </c>
      <c r="N97" s="25">
        <f>'Asset Returns'!N97-'Risk Factors'!$J97</f>
        <v>1.898231110505256E-3</v>
      </c>
      <c r="P97" s="421">
        <f>'Asset Returns'!P97</f>
        <v>43100</v>
      </c>
      <c r="Q97" s="25">
        <f>'Asset Returns'!Q97-'Risk Factors'!$J97</f>
        <v>-4.5138349029781783E-4</v>
      </c>
      <c r="R97" s="25">
        <f>'Asset Returns'!R97-'Risk Factors'!$J97</f>
        <v>1.4225210016801338E-2</v>
      </c>
      <c r="S97" s="260"/>
      <c r="T97" s="421">
        <f>'Asset Returns'!T97</f>
        <v>43100</v>
      </c>
      <c r="U97" s="25">
        <f>'Asset Returns'!U97-'Risk Factors'!$J97</f>
        <v>1.323118E-2</v>
      </c>
      <c r="V97" s="25">
        <f>'Asset Returns'!V97-'Risk Factors'!$J97</f>
        <v>5.4243199999999998E-2</v>
      </c>
      <c r="W97" s="25">
        <f>'Asset Returns'!W97-'Risk Factors'!$J97</f>
        <v>1.0826760000000001E-2</v>
      </c>
      <c r="X97" s="25">
        <f>'Asset Returns'!X97-'Risk Factors'!$J97</f>
        <v>9.2342552686720657E-3</v>
      </c>
      <c r="Y97" s="25">
        <f>'Asset Returns'!Y97-'Risk Factors'!$J97</f>
        <v>-9.83184E-2</v>
      </c>
      <c r="Z97" s="25">
        <f>'Asset Returns'!Z97-'Risk Factors'!$J97</f>
        <v>7.6188900000000004E-2</v>
      </c>
      <c r="AA97" s="25">
        <f>'Asset Returns'!AA97-'Risk Factors'!$J97</f>
        <v>1.2700399999999999E-2</v>
      </c>
      <c r="AB97" s="25">
        <f>'Asset Returns'!AB97-'Risk Factors'!$J97</f>
        <v>9.8992400000000019E-3</v>
      </c>
      <c r="AC97" s="25">
        <f>'Asset Returns'!AC97-'Risk Factors'!$J97</f>
        <v>3.4620100000000001E-2</v>
      </c>
    </row>
    <row r="98" spans="5:29">
      <c r="E98" s="421">
        <f>'Asset Returns'!E98</f>
        <v>43131</v>
      </c>
      <c r="F98" s="25">
        <f>'Asset Returns'!F98-'Risk Factors'!$J98</f>
        <v>0.1231373821408762</v>
      </c>
      <c r="G98" s="25">
        <f>'Asset Returns'!G98-'Risk Factors'!$J98</f>
        <v>-1.1180142475511922E-2</v>
      </c>
      <c r="H98" s="25">
        <f>'Asset Returns'!H98-'Risk Factors'!$J98</f>
        <v>6.6876797971709874E-3</v>
      </c>
      <c r="I98" s="25">
        <f>'Asset Returns'!I98-'Risk Factors'!$J98</f>
        <v>-7.2805426356589056E-2</v>
      </c>
      <c r="J98" s="25">
        <f>'Asset Returns'!J98-'Risk Factors'!$J98</f>
        <v>6.9136039147956393E-2</v>
      </c>
      <c r="K98" s="25">
        <f>'Asset Returns'!K98-'Risk Factors'!$J98</f>
        <v>7.9812493316699359E-2</v>
      </c>
      <c r="L98" s="25">
        <f>'Asset Returns'!L98-'Risk Factors'!$J98</f>
        <v>0.13882235422960265</v>
      </c>
      <c r="M98" s="25">
        <f>'Asset Returns'!M98-'Risk Factors'!$J98</f>
        <v>6.5907755715271951E-2</v>
      </c>
      <c r="N98" s="25">
        <f>'Asset Returns'!N98-'Risk Factors'!$J98</f>
        <v>-1.2049959799598896E-2</v>
      </c>
      <c r="P98" s="421">
        <f>'Asset Returns'!P98</f>
        <v>43131</v>
      </c>
      <c r="Q98" s="25">
        <f>'Asset Returns'!Q98-'Risk Factors'!$J98</f>
        <v>-1.9313034144064167E-2</v>
      </c>
      <c r="R98" s="25">
        <f>'Asset Returns'!R98-'Risk Factors'!$J98</f>
        <v>-2.567430416809514E-2</v>
      </c>
      <c r="S98" s="260"/>
      <c r="T98" s="421">
        <f>'Asset Returns'!T98</f>
        <v>43131</v>
      </c>
      <c r="U98" s="25">
        <f>'Asset Returns'!U98-'Risk Factors'!$J98</f>
        <v>3.3299630000000004E-2</v>
      </c>
      <c r="V98" s="25">
        <f>'Asset Returns'!V98-'Risk Factors'!$J98</f>
        <v>2.89646E-2</v>
      </c>
      <c r="W98" s="25">
        <f>'Asset Returns'!W98-'Risk Factors'!$J98</f>
        <v>6.5422869999999994E-2</v>
      </c>
      <c r="X98" s="25">
        <f>'Asset Returns'!X98-'Risk Factors'!$J98</f>
        <v>4.729625137469317E-2</v>
      </c>
      <c r="Y98" s="25">
        <f>'Asset Returns'!Y98-'Risk Factors'!$J98</f>
        <v>-6.8828E-2</v>
      </c>
      <c r="Z98" s="25">
        <f>'Asset Returns'!Z98-'Risk Factors'!$J98</f>
        <v>1.38254E-2</v>
      </c>
      <c r="AA98" s="25">
        <f>'Asset Returns'!AA98-'Risk Factors'!$J98</f>
        <v>5.1438600000000008E-2</v>
      </c>
      <c r="AB98" s="25">
        <f>'Asset Returns'!AB98-'Risk Factors'!$J98</f>
        <v>6.8871299999999996E-2</v>
      </c>
      <c r="AC98" s="25">
        <f>'Asset Returns'!AC98-'Risk Factors'!$J98</f>
        <v>0.11557249999999999</v>
      </c>
    </row>
    <row r="99" spans="5:29">
      <c r="E99" s="421">
        <f>'Asset Returns'!E99</f>
        <v>43159</v>
      </c>
      <c r="F99" s="25">
        <f>'Asset Returns'!F99-'Risk Factors'!$J99</f>
        <v>-3.0733596447951698E-3</v>
      </c>
      <c r="G99" s="25">
        <f>'Asset Returns'!G99-'Risk Factors'!$J99</f>
        <v>6.0320552677029286E-2</v>
      </c>
      <c r="H99" s="25">
        <f>'Asset Returns'!H99-'Risk Factors'!$J99</f>
        <v>-6.8336956492772064E-2</v>
      </c>
      <c r="I99" s="25">
        <f>'Asset Returns'!I99-'Risk Factors'!$J99</f>
        <v>-9.7133402922755754E-2</v>
      </c>
      <c r="J99" s="25">
        <f>'Asset Returns'!J99-'Risk Factors'!$J99</f>
        <v>-1.1499856553702791E-2</v>
      </c>
      <c r="K99" s="25">
        <f>'Asset Returns'!K99-'Risk Factors'!$J99</f>
        <v>-6.1687386644682658E-2</v>
      </c>
      <c r="L99" s="25">
        <f>'Asset Returns'!L99-'Risk Factors'!$J99</f>
        <v>4.580563312087748E-2</v>
      </c>
      <c r="M99" s="25">
        <f>'Asset Returns'!M99-'Risk Factors'!$J99</f>
        <v>-3.9502112858295309E-2</v>
      </c>
      <c r="N99" s="25">
        <f>'Asset Returns'!N99-'Risk Factors'!$J99</f>
        <v>-5.5256830752852377E-2</v>
      </c>
      <c r="P99" s="421">
        <f>'Asset Returns'!P99</f>
        <v>43159</v>
      </c>
      <c r="Q99" s="25">
        <f>'Asset Returns'!Q99-'Risk Factors'!$J99</f>
        <v>-1.0563150024557221E-2</v>
      </c>
      <c r="R99" s="25">
        <f>'Asset Returns'!R99-'Risk Factors'!$J99</f>
        <v>-1.1603989496010502E-2</v>
      </c>
      <c r="S99" s="260"/>
      <c r="T99" s="421">
        <f>'Asset Returns'!T99</f>
        <v>43159</v>
      </c>
      <c r="U99" s="25">
        <f>'Asset Returns'!U99-'Risk Factors'!$J99</f>
        <v>-4.7548569999999998E-2</v>
      </c>
      <c r="V99" s="25">
        <f>'Asset Returns'!V99-'Risk Factors'!$J99</f>
        <v>-2.3457599999999999E-2</v>
      </c>
      <c r="W99" s="25">
        <f>'Asset Returns'!W99-'Risk Factors'!$J99</f>
        <v>-4.2529789999999998E-2</v>
      </c>
      <c r="X99" s="25">
        <f>'Asset Returns'!X99-'Risk Factors'!$J99</f>
        <v>-4.4963860817563095E-2</v>
      </c>
      <c r="Y99" s="25">
        <f>'Asset Returns'!Y99-'Risk Factors'!$J99</f>
        <v>0.22726469999999999</v>
      </c>
      <c r="Z99" s="25">
        <f>'Asset Returns'!Z99-'Risk Factors'!$J99</f>
        <v>-0.13345289999999999</v>
      </c>
      <c r="AA99" s="25">
        <f>'Asset Returns'!AA99-'Risk Factors'!$J99</f>
        <v>-4.2771799999999999E-2</v>
      </c>
      <c r="AB99" s="25">
        <f>'Asset Returns'!AB99-'Risk Factors'!$J99</f>
        <v>-5.1519389999999998E-2</v>
      </c>
      <c r="AC99" s="25">
        <f>'Asset Returns'!AC99-'Risk Factors'!$J99</f>
        <v>-8.7559100000000015E-2</v>
      </c>
    </row>
    <row r="100" spans="5:29">
      <c r="E100" s="421">
        <f>'Asset Returns'!E100</f>
        <v>43190</v>
      </c>
      <c r="F100" s="25">
        <f>'Asset Returns'!F100-'Risk Factors'!$J100</f>
        <v>-2.7893030153237762E-2</v>
      </c>
      <c r="G100" s="25">
        <f>'Asset Returns'!G100-'Risk Factors'!$J100</f>
        <v>-2.5302511949557703E-2</v>
      </c>
      <c r="H100" s="25">
        <f>'Asset Returns'!H100-'Risk Factors'!$J100</f>
        <v>2.5693246689100536E-2</v>
      </c>
      <c r="I100" s="25">
        <f>'Asset Returns'!I100-'Risk Factors'!$J100</f>
        <v>-0.11862760703499733</v>
      </c>
      <c r="J100" s="25">
        <f>'Asset Returns'!J100-'Risk Factors'!$J100</f>
        <v>-3.8163217974270712E-2</v>
      </c>
      <c r="K100" s="25">
        <f>'Asset Returns'!K100-'Risk Factors'!$J100</f>
        <v>-4.5413558050296995E-3</v>
      </c>
      <c r="L100" s="25">
        <f>'Asset Returns'!L100-'Risk Factors'!$J100</f>
        <v>3.2033482313783869E-2</v>
      </c>
      <c r="M100" s="25">
        <f>'Asset Returns'!M100-'Risk Factors'!$J100</f>
        <v>-1.6602820156640184E-2</v>
      </c>
      <c r="N100" s="25">
        <f>'Asset Returns'!N100-'Risk Factors'!$J100</f>
        <v>-1.4520018412516732E-2</v>
      </c>
      <c r="P100" s="421">
        <f>'Asset Returns'!P100</f>
        <v>43190</v>
      </c>
      <c r="Q100" s="25">
        <f>'Asset Returns'!Q100-'Risk Factors'!$J100</f>
        <v>1.3210869263128623E-2</v>
      </c>
      <c r="R100" s="25">
        <f>'Asset Returns'!R100-'Risk Factors'!$J100</f>
        <v>1.6295151577013424E-2</v>
      </c>
      <c r="S100" s="260"/>
      <c r="T100" s="421">
        <f>'Asset Returns'!T100</f>
        <v>43190</v>
      </c>
      <c r="U100" s="25">
        <f>'Asset Returns'!U100-'Risk Factors'!$J100</f>
        <v>-1.5050979999999999E-2</v>
      </c>
      <c r="V100" s="25">
        <f>'Asset Returns'!V100-'Risk Factors'!$J100</f>
        <v>1.0032200000000002E-2</v>
      </c>
      <c r="W100" s="25">
        <f>'Asset Returns'!W100-'Risk Factors'!$J100</f>
        <v>-1.6369620000000001E-2</v>
      </c>
      <c r="X100" s="25">
        <f>'Asset Returns'!X100-'Risk Factors'!$J100</f>
        <v>-1.8797906901057891E-2</v>
      </c>
      <c r="Y100" s="25">
        <f>'Asset Returns'!Y100-'Risk Factors'!$J100</f>
        <v>-4.9032199999999998E-2</v>
      </c>
      <c r="Z100" s="25">
        <f>'Asset Returns'!Z100-'Risk Factors'!$J100</f>
        <v>3.9962200000000003E-2</v>
      </c>
      <c r="AA100" s="25">
        <f>'Asset Returns'!AA100-'Risk Factors'!$J100</f>
        <v>-2.3770800000000002E-2</v>
      </c>
      <c r="AB100" s="25">
        <f>'Asset Returns'!AB100-'Risk Factors'!$J100</f>
        <v>-2.2055470000000001E-2</v>
      </c>
      <c r="AC100" s="25">
        <f>'Asset Returns'!AC100-'Risk Factors'!$J100</f>
        <v>-7.7656799999999998E-2</v>
      </c>
    </row>
    <row r="101" spans="5:29">
      <c r="E101" s="421">
        <f>'Asset Returns'!E101</f>
        <v>43220</v>
      </c>
      <c r="F101" s="25">
        <f>'Asset Returns'!F101-'Risk Factors'!$J101</f>
        <v>-6.5137938039614138E-2</v>
      </c>
      <c r="G101" s="25">
        <f>'Asset Returns'!G101-'Risk Factors'!$J101</f>
        <v>-6.6253411143532046E-2</v>
      </c>
      <c r="H101" s="25">
        <f>'Asset Returns'!H101-'Risk Factors'!$J101</f>
        <v>0.10082149668375291</v>
      </c>
      <c r="I101" s="25">
        <f>'Asset Returns'!I101-'Risk Factors'!$J101</f>
        <v>1.6514653784218972E-2</v>
      </c>
      <c r="J101" s="25">
        <f>'Asset Returns'!J101-'Risk Factors'!$J101</f>
        <v>2.1177610536218319E-2</v>
      </c>
      <c r="K101" s="25">
        <f>'Asset Returns'!K101-'Risk Factors'!$J101</f>
        <v>0.10852779783393503</v>
      </c>
      <c r="L101" s="25">
        <f>'Asset Returns'!L101-'Risk Factors'!$J101</f>
        <v>2.4145810577467522E-2</v>
      </c>
      <c r="M101" s="25">
        <f>'Asset Returns'!M101-'Risk Factors'!$J101</f>
        <v>-5.6603405295250028E-2</v>
      </c>
      <c r="N101" s="25">
        <f>'Asset Returns'!N101-'Risk Factors'!$J101</f>
        <v>-1.4353488336048369E-2</v>
      </c>
      <c r="P101" s="421">
        <f>'Asset Returns'!P101</f>
        <v>43220</v>
      </c>
      <c r="Q101" s="25">
        <f>'Asset Returns'!Q101-'Risk Factors'!$J101</f>
        <v>2.3450073007687104E-4</v>
      </c>
      <c r="R101" s="25">
        <f>'Asset Returns'!R101-'Risk Factors'!$J101</f>
        <v>-2.6065944384254289E-2</v>
      </c>
      <c r="S101" s="260"/>
      <c r="T101" s="421">
        <f>'Asset Returns'!T101</f>
        <v>43220</v>
      </c>
      <c r="U101" s="25">
        <f>'Asset Returns'!U101-'Risk Factors'!$J101</f>
        <v>1.523104E-2</v>
      </c>
      <c r="V101" s="25">
        <f>'Asset Returns'!V101-'Risk Factors'!$J101</f>
        <v>4.1230200000000002E-2</v>
      </c>
      <c r="W101" s="25">
        <f>'Asset Returns'!W101-'Risk Factors'!$J101</f>
        <v>1.9060099999999999E-3</v>
      </c>
      <c r="X101" s="25">
        <f>'Asset Returns'!X101-'Risk Factors'!$J101</f>
        <v>3.8729901766443985E-3</v>
      </c>
      <c r="Y101" s="25">
        <f>'Asset Returns'!Y101-'Risk Factors'!$J101</f>
        <v>-0.17412950000000002</v>
      </c>
      <c r="Z101" s="25">
        <f>'Asset Returns'!Z101-'Risk Factors'!$J101</f>
        <v>-2.2330199999999998E-2</v>
      </c>
      <c r="AA101" s="25">
        <f>'Asset Returns'!AA101-'Risk Factors'!$J101</f>
        <v>1.0603999999999999E-2</v>
      </c>
      <c r="AB101" s="25">
        <f>'Asset Returns'!AB101-'Risk Factors'!$J101</f>
        <v>6.2648000000000001E-3</v>
      </c>
      <c r="AC101" s="25">
        <f>'Asset Returns'!AC101-'Risk Factors'!$J101</f>
        <v>-9.0459999999999998E-4</v>
      </c>
    </row>
    <row r="102" spans="5:29">
      <c r="E102" s="421">
        <f>'Asset Returns'!E102</f>
        <v>43251</v>
      </c>
      <c r="F102" s="25">
        <f>'Asset Returns'!F102-'Risk Factors'!$J102</f>
        <v>2.3971250339028371E-3</v>
      </c>
      <c r="G102" s="25">
        <f>'Asset Returns'!G102-'Risk Factors'!$J102</f>
        <v>7.4778277181384977E-3</v>
      </c>
      <c r="H102" s="25">
        <f>'Asset Returns'!H102-'Risk Factors'!$J102</f>
        <v>4.7127200966163033E-2</v>
      </c>
      <c r="I102" s="25">
        <f>'Asset Returns'!I102-'Risk Factors'!$J102</f>
        <v>-0.18075534902115881</v>
      </c>
      <c r="J102" s="25">
        <f>'Asset Returns'!J102-'Risk Factors'!$J102</f>
        <v>-3.0838822447102163E-2</v>
      </c>
      <c r="K102" s="25">
        <f>'Asset Returns'!K102-'Risk Factors'!$J102</f>
        <v>-1.8674274222657702E-2</v>
      </c>
      <c r="L102" s="25">
        <f>'Asset Returns'!L102-'Risk Factors'!$J102</f>
        <v>0.12350943484625139</v>
      </c>
      <c r="M102" s="25">
        <f>'Asset Returns'!M102-'Risk Factors'!$J102</f>
        <v>-1.5847682457297216E-2</v>
      </c>
      <c r="N102" s="25">
        <f>'Asset Returns'!N102-'Risk Factors'!$J102</f>
        <v>-4.8705779907055977E-2</v>
      </c>
      <c r="P102" s="421">
        <f>'Asset Returns'!P102</f>
        <v>43251</v>
      </c>
      <c r="Q102" s="25">
        <f>'Asset Returns'!Q102-'Risk Factors'!$J102</f>
        <v>1.1325193022590675E-2</v>
      </c>
      <c r="R102" s="25">
        <f>'Asset Returns'!R102-'Risk Factors'!$J102</f>
        <v>1.4435400698584356E-2</v>
      </c>
      <c r="S102" s="260"/>
      <c r="T102" s="421">
        <f>'Asset Returns'!T102</f>
        <v>43251</v>
      </c>
      <c r="U102" s="25">
        <f>'Asset Returns'!U102-'Risk Factors'!$J102</f>
        <v>-1.3681770000000001E-2</v>
      </c>
      <c r="V102" s="25">
        <f>'Asset Returns'!V102-'Risk Factors'!$J102</f>
        <v>-1.8768699999999999E-2</v>
      </c>
      <c r="W102" s="25">
        <f>'Asset Returns'!W102-'Risk Factors'!$J102</f>
        <v>5.3276800000000004E-3</v>
      </c>
      <c r="X102" s="25">
        <f>'Asset Returns'!X102-'Risk Factors'!$J102</f>
        <v>-1.2771617884547658E-2</v>
      </c>
      <c r="Y102" s="25">
        <f>'Asset Returns'!Y102-'Risk Factors'!$J102</f>
        <v>-7.3191800000000001E-2</v>
      </c>
      <c r="Z102" s="25">
        <f>'Asset Returns'!Z102-'Risk Factors'!$J102</f>
        <v>-3.9404799999999997E-2</v>
      </c>
      <c r="AA102" s="25">
        <f>'Asset Returns'!AA102-'Risk Factors'!$J102</f>
        <v>4.8587999999999999E-3</v>
      </c>
      <c r="AB102" s="25">
        <f>'Asset Returns'!AB102-'Risk Factors'!$J102</f>
        <v>1.8761200000000002E-2</v>
      </c>
      <c r="AC102" s="25">
        <f>'Asset Returns'!AC102-'Risk Factors'!$J102</f>
        <v>2.19321E-2</v>
      </c>
    </row>
    <row r="103" spans="5:29">
      <c r="E103" s="421">
        <f>'Asset Returns'!E103</f>
        <v>43281</v>
      </c>
      <c r="F103" s="25">
        <f>'Asset Returns'!F103-'Risk Factors'!$J103</f>
        <v>-3.4634261010537612E-2</v>
      </c>
      <c r="G103" s="25">
        <f>'Asset Returns'!G103-'Risk Factors'!$J103</f>
        <v>-5.6002356406480255E-2</v>
      </c>
      <c r="H103" s="25">
        <f>'Asset Returns'!H103-'Risk Factors'!$J103</f>
        <v>-5.7716058274216876E-3</v>
      </c>
      <c r="I103" s="25">
        <f>'Asset Returns'!I103-'Risk Factors'!$J103</f>
        <v>-6.2363855421686806E-2</v>
      </c>
      <c r="J103" s="25">
        <f>'Asset Returns'!J103-'Risk Factors'!$J103</f>
        <v>1.4903317535544925E-2</v>
      </c>
      <c r="K103" s="25">
        <f>'Asset Returns'!K103-'Risk Factors'!$J103</f>
        <v>3.8944454579946289E-2</v>
      </c>
      <c r="L103" s="25">
        <f>'Asset Returns'!L103-'Risk Factors'!$J103</f>
        <v>-2.3343182861892561E-2</v>
      </c>
      <c r="M103" s="25">
        <f>'Asset Returns'!M103-'Risk Factors'!$J103</f>
        <v>-1.2791743899438534E-2</v>
      </c>
      <c r="N103" s="25">
        <f>'Asset Returns'!N103-'Risk Factors'!$J103</f>
        <v>1.2978380427535697E-2</v>
      </c>
      <c r="P103" s="421">
        <f>'Asset Returns'!P103</f>
        <v>43281</v>
      </c>
      <c r="Q103" s="25">
        <f>'Asset Returns'!Q103-'Risk Factors'!$J103</f>
        <v>-2.4234834171224448E-2</v>
      </c>
      <c r="R103" s="25">
        <f>'Asset Returns'!R103-'Risk Factors'!$J103</f>
        <v>2.7674766718506893E-3</v>
      </c>
      <c r="S103" s="260"/>
      <c r="T103" s="421">
        <f>'Asset Returns'!T103</f>
        <v>43281</v>
      </c>
      <c r="U103" s="25">
        <f>'Asset Returns'!U103-'Risk Factors'!$J103</f>
        <v>-9.3692800000000007E-3</v>
      </c>
      <c r="V103" s="25">
        <f>'Asset Returns'!V103-'Risk Factors'!$J103</f>
        <v>-8.8386100000000009E-2</v>
      </c>
      <c r="W103" s="25">
        <f>'Asset Returns'!W103-'Risk Factors'!$J103</f>
        <v>1.8868199999999998E-3</v>
      </c>
      <c r="X103" s="25">
        <f>'Asset Returns'!X103-'Risk Factors'!$J103</f>
        <v>-8.1762416987113829E-3</v>
      </c>
      <c r="Y103" s="25">
        <f>'Asset Returns'!Y103-'Risk Factors'!$J103</f>
        <v>-2.1058399999999998E-2</v>
      </c>
      <c r="Z103" s="25">
        <f>'Asset Returns'!Z103-'Risk Factors'!$J103</f>
        <v>-6.3128400000000001E-2</v>
      </c>
      <c r="AA103" s="25">
        <f>'Asset Returns'!AA103-'Risk Factors'!$J103</f>
        <v>-2.3990999999999999E-3</v>
      </c>
      <c r="AB103" s="25">
        <f>'Asset Returns'!AB103-'Risk Factors'!$J103</f>
        <v>-1.3838100000000001E-3</v>
      </c>
      <c r="AC103" s="25">
        <f>'Asset Returns'!AC103-'Risk Factors'!$J103</f>
        <v>-1.61566E-2</v>
      </c>
    </row>
    <row r="104" spans="5:29">
      <c r="E104" s="421">
        <f>'Asset Returns'!E104</f>
        <v>43312</v>
      </c>
      <c r="F104" s="25">
        <f>'Asset Returns'!F104-'Risk Factors'!$J104</f>
        <v>8.2525209614309689E-2</v>
      </c>
      <c r="G104" s="25">
        <f>'Asset Returns'!G104-'Risk Factors'!$J104</f>
        <v>4.1473567784398528E-2</v>
      </c>
      <c r="H104" s="25">
        <f>'Asset Returns'!H104-'Risk Factors'!$J104</f>
        <v>-1.6629195985229227E-2</v>
      </c>
      <c r="I104" s="25">
        <f>'Asset Returns'!I104-'Risk Factors'!$J104</f>
        <v>-2.1872004105722275E-2</v>
      </c>
      <c r="J104" s="25">
        <f>'Asset Returns'!J104-'Risk Factors'!$J104</f>
        <v>6.4208916246968799E-3</v>
      </c>
      <c r="K104" s="25">
        <f>'Asset Returns'!K104-'Risk Factors'!$J104</f>
        <v>3.1232265436014473E-2</v>
      </c>
      <c r="L104" s="25">
        <f>'Asset Returns'!L104-'Risk Factors'!$J104</f>
        <v>1.9686024376322402E-3</v>
      </c>
      <c r="M104" s="25">
        <f>'Asset Returns'!M104-'Risk Factors'!$J104</f>
        <v>3.5837778359968646E-2</v>
      </c>
      <c r="N104" s="25">
        <f>'Asset Returns'!N104-'Risk Factors'!$J104</f>
        <v>9.0538380619823708E-2</v>
      </c>
      <c r="P104" s="421">
        <f>'Asset Returns'!P104</f>
        <v>43312</v>
      </c>
      <c r="Q104" s="25">
        <f>'Asset Returns'!Q104-'Risk Factors'!$J104</f>
        <v>-2.1967749027885326E-3</v>
      </c>
      <c r="R104" s="25">
        <f>'Asset Returns'!R104-'Risk Factors'!$J104</f>
        <v>-9.7430662939974148E-3</v>
      </c>
      <c r="S104" s="260"/>
      <c r="T104" s="421">
        <f>'Asset Returns'!T104</f>
        <v>43312</v>
      </c>
      <c r="U104" s="25">
        <f>'Asset Returns'!U104-'Risk Factors'!$J104</f>
        <v>4.0075170000000007E-2</v>
      </c>
      <c r="V104" s="25">
        <f>'Asset Returns'!V104-'Risk Factors'!$J104</f>
        <v>3.993E-2</v>
      </c>
      <c r="W104" s="25">
        <f>'Asset Returns'!W104-'Risk Factors'!$J104</f>
        <v>4.6362809999999997E-2</v>
      </c>
      <c r="X104" s="25">
        <f>'Asset Returns'!X104-'Risk Factors'!$J104</f>
        <v>2.0967451614548428E-2</v>
      </c>
      <c r="Y104" s="25">
        <f>'Asset Returns'!Y104-'Risk Factors'!$J104</f>
        <v>-2.78985E-2</v>
      </c>
      <c r="Z104" s="25">
        <f>'Asset Returns'!Z104-'Risk Factors'!$J104</f>
        <v>8.9262999999999981E-3</v>
      </c>
      <c r="AA104" s="25">
        <f>'Asset Returns'!AA104-'Risk Factors'!$J104</f>
        <v>2.9455899999999997E-2</v>
      </c>
      <c r="AB104" s="25">
        <f>'Asset Returns'!AB104-'Risk Factors'!$J104</f>
        <v>2.6200129999999999E-2</v>
      </c>
      <c r="AC104" s="25">
        <f>'Asset Returns'!AC104-'Risk Factors'!$J104</f>
        <v>9.2618699999999998E-2</v>
      </c>
    </row>
    <row r="105" spans="5:29">
      <c r="E105" s="421">
        <f>'Asset Returns'!E105</f>
        <v>43343</v>
      </c>
      <c r="F105" s="25">
        <f>'Asset Returns'!F105-'Risk Factors'!$J105</f>
        <v>-3.5371590616138211E-2</v>
      </c>
      <c r="G105" s="25">
        <f>'Asset Returns'!G105-'Risk Factors'!$J105</f>
        <v>8.0093611619310764E-2</v>
      </c>
      <c r="H105" s="25">
        <f>'Asset Returns'!H105-'Risk Factors'!$J105</f>
        <v>-4.2394522022999599E-2</v>
      </c>
      <c r="I105" s="25">
        <f>'Asset Returns'!I105-'Risk Factors'!$J105</f>
        <v>-2.2291461498166586E-2</v>
      </c>
      <c r="J105" s="25">
        <f>'Asset Returns'!J105-'Risk Factors'!$J105</f>
        <v>-4.3790969652109553E-2</v>
      </c>
      <c r="K105" s="25">
        <f>'Asset Returns'!K105-'Risk Factors'!$J105</f>
        <v>1.7914522260454247E-2</v>
      </c>
      <c r="L105" s="25">
        <f>'Asset Returns'!L105-'Risk Factors'!$J105</f>
        <v>7.5357381794768405E-2</v>
      </c>
      <c r="M105" s="25">
        <f>'Asset Returns'!M105-'Risk Factors'!$J105</f>
        <v>2.005458723705127E-2</v>
      </c>
      <c r="N105" s="25">
        <f>'Asset Returns'!N105-'Risk Factors'!$J105</f>
        <v>2.1554471254414943E-2</v>
      </c>
      <c r="P105" s="421">
        <f>'Asset Returns'!P105</f>
        <v>43343</v>
      </c>
      <c r="Q105" s="25">
        <f>'Asset Returns'!Q105-'Risk Factors'!$J105</f>
        <v>-8.8972808528282464E-4</v>
      </c>
      <c r="R105" s="25">
        <f>'Asset Returns'!R105-'Risk Factors'!$J105</f>
        <v>6.0447003521442626E-3</v>
      </c>
      <c r="S105" s="260"/>
      <c r="T105" s="421">
        <f>'Asset Returns'!T105</f>
        <v>43343</v>
      </c>
      <c r="U105" s="25">
        <f>'Asset Returns'!U105-'Risk Factors'!$J105</f>
        <v>-2.9953000000000002E-3</v>
      </c>
      <c r="V105" s="25">
        <f>'Asset Returns'!V105-'Risk Factors'!$J105</f>
        <v>-4.4056899999999996E-2</v>
      </c>
      <c r="W105" s="25">
        <f>'Asset Returns'!W105-'Risk Factors'!$J105</f>
        <v>2.5896000000000001E-3</v>
      </c>
      <c r="X105" s="25">
        <f>'Asset Returns'!X105-'Risk Factors'!$J105</f>
        <v>1.265517374571461E-2</v>
      </c>
      <c r="Y105" s="25">
        <f>'Asset Returns'!Y105-'Risk Factors'!$J105</f>
        <v>5.8832100000000005E-2</v>
      </c>
      <c r="Z105" s="25">
        <f>'Asset Returns'!Z105-'Risk Factors'!$J105</f>
        <v>-8.2329200000000005E-2</v>
      </c>
      <c r="AA105" s="25">
        <f>'Asset Returns'!AA105-'Risk Factors'!$J105</f>
        <v>1.0648599999999999E-2</v>
      </c>
      <c r="AB105" s="25">
        <f>'Asset Returns'!AB105-'Risk Factors'!$J105</f>
        <v>1.6520139999999999E-2</v>
      </c>
      <c r="AC105" s="25">
        <f>'Asset Returns'!AC105-'Risk Factors'!$J105</f>
        <v>4.5747799999999998E-2</v>
      </c>
    </row>
    <row r="106" spans="5:29">
      <c r="E106" s="421">
        <f>'Asset Returns'!E106</f>
        <v>43373</v>
      </c>
      <c r="F106" s="25">
        <f>'Asset Returns'!F106-'Risk Factors'!$J106</f>
        <v>0.11376147278548571</v>
      </c>
      <c r="G106" s="25">
        <f>'Asset Returns'!G106-'Risk Factors'!$J106</f>
        <v>-3.2703617410513808E-2</v>
      </c>
      <c r="H106" s="25">
        <f>'Asset Returns'!H106-'Risk Factors'!$J106</f>
        <v>7.8802539572333796E-2</v>
      </c>
      <c r="I106" s="25">
        <f>'Asset Returns'!I106-'Risk Factors'!$J106</f>
        <v>-0.18336680930730148</v>
      </c>
      <c r="J106" s="25">
        <f>'Asset Returns'!J106-'Risk Factors'!$J106</f>
        <v>1.2023956723338504E-2</v>
      </c>
      <c r="K106" s="25">
        <f>'Asset Returns'!K106-'Risk Factors'!$J106</f>
        <v>1.6086134477003189E-2</v>
      </c>
      <c r="L106" s="25">
        <f>'Asset Returns'!L106-'Risk Factors'!$J106</f>
        <v>2.2939102612316298E-2</v>
      </c>
      <c r="M106" s="25">
        <f>'Asset Returns'!M106-'Risk Factors'!$J106</f>
        <v>3.0789825697559892E-2</v>
      </c>
      <c r="N106" s="25">
        <f>'Asset Returns'!N106-'Risk Factors'!$J106</f>
        <v>2.4337536952832528E-2</v>
      </c>
      <c r="P106" s="421">
        <f>'Asset Returns'!P106</f>
        <v>43373</v>
      </c>
      <c r="Q106" s="25">
        <f>'Asset Returns'!Q106-'Risk Factors'!$J106</f>
        <v>1.9880969429736217E-2</v>
      </c>
      <c r="R106" s="25">
        <f>'Asset Returns'!R106-'Risk Factors'!$J106</f>
        <v>9.0245316825530737E-3</v>
      </c>
      <c r="S106" s="260"/>
      <c r="T106" s="421">
        <f>'Asset Returns'!T106</f>
        <v>43373</v>
      </c>
      <c r="U106" s="25">
        <f>'Asset Returns'!U106-'Risk Factors'!$J106</f>
        <v>-7.9568499999999997E-3</v>
      </c>
      <c r="V106" s="25">
        <f>'Asset Returns'!V106-'Risk Factors'!$J106</f>
        <v>-1.6207600000000003E-2</v>
      </c>
      <c r="W106" s="25">
        <f>'Asset Returns'!W106-'Risk Factors'!$J106</f>
        <v>-3.3392999999999999E-3</v>
      </c>
      <c r="X106" s="25">
        <f>'Asset Returns'!X106-'Risk Factors'!$J106</f>
        <v>3.0564362525423174E-3</v>
      </c>
      <c r="Y106" s="25">
        <f>'Asset Returns'!Y106-'Risk Factors'!$J106</f>
        <v>-5.3124999999999999E-2</v>
      </c>
      <c r="Z106" s="25">
        <f>'Asset Returns'!Z106-'Risk Factors'!$J106</f>
        <v>-1.5664300000000003E-2</v>
      </c>
      <c r="AA106" s="25">
        <f>'Asset Returns'!AA106-'Risk Factors'!$J106</f>
        <v>3.9281000000000003E-3</v>
      </c>
      <c r="AB106" s="25">
        <f>'Asset Returns'!AB106-'Risk Factors'!$J106</f>
        <v>1.574563E-2</v>
      </c>
      <c r="AC106" s="25">
        <f>'Asset Returns'!AC106-'Risk Factors'!$J106</f>
        <v>3.5018999999999995E-2</v>
      </c>
    </row>
    <row r="107" spans="5:29">
      <c r="E107" s="421">
        <f>'Asset Returns'!E107</f>
        <v>43404</v>
      </c>
      <c r="F107" s="25">
        <f>'Asset Returns'!F107-'Risk Factors'!$J107</f>
        <v>-4.9507655502392209E-2</v>
      </c>
      <c r="G107" s="25">
        <f>'Asset Returns'!G107-'Risk Factors'!$J107</f>
        <v>-7.4654480350589733E-2</v>
      </c>
      <c r="H107" s="25">
        <f>'Asset Returns'!H107-'Risk Factors'!$J107</f>
        <v>-5.8647514949071486E-2</v>
      </c>
      <c r="I107" s="25">
        <f>'Asset Returns'!I107-'Risk Factors'!$J107</f>
        <v>-0.21700297482837527</v>
      </c>
      <c r="J107" s="25">
        <f>'Asset Returns'!J107-'Risk Factors'!$J107</f>
        <v>-6.347072054898982E-2</v>
      </c>
      <c r="K107" s="25">
        <f>'Asset Returns'!K107-'Risk Factors'!$J107</f>
        <v>-0.18337403867043234</v>
      </c>
      <c r="L107" s="25">
        <f>'Asset Returns'!L107-'Risk Factors'!$J107</f>
        <v>-9.1508817637907067E-2</v>
      </c>
      <c r="M107" s="25">
        <f>'Asset Returns'!M107-'Risk Factors'!$J107</f>
        <v>-0.23852586749781512</v>
      </c>
      <c r="N107" s="25">
        <f>'Asset Returns'!N107-'Risk Factors'!$J107</f>
        <v>1.1272079019716731E-2</v>
      </c>
      <c r="P107" s="421">
        <f>'Asset Returns'!P107</f>
        <v>43404</v>
      </c>
      <c r="Q107" s="25">
        <f>'Asset Returns'!Q107-'Risk Factors'!$J107</f>
        <v>-3.6188259096861944E-3</v>
      </c>
      <c r="R107" s="25">
        <f>'Asset Returns'!R107-'Risk Factors'!$J107</f>
        <v>-3.1132059422547029E-2</v>
      </c>
      <c r="S107" s="260"/>
      <c r="T107" s="421">
        <f>'Asset Returns'!T107</f>
        <v>43404</v>
      </c>
      <c r="U107" s="25">
        <f>'Asset Returns'!U107-'Risk Factors'!$J107</f>
        <v>-9.8920090000000002E-2</v>
      </c>
      <c r="V107" s="25">
        <f>'Asset Returns'!V107-'Risk Factors'!$J107</f>
        <v>-5.8791099999999999E-2</v>
      </c>
      <c r="W107" s="25">
        <f>'Asset Returns'!W107-'Risk Factors'!$J107</f>
        <v>-7.6897949999999993E-2</v>
      </c>
      <c r="X107" s="25">
        <f>'Asset Returns'!X107-'Risk Factors'!$J107</f>
        <v>-7.0215376213142985E-2</v>
      </c>
      <c r="Y107" s="25">
        <f>'Asset Returns'!Y107-'Risk Factors'!$J107</f>
        <v>0.25977280000000003</v>
      </c>
      <c r="Z107" s="25">
        <f>'Asset Returns'!Z107-'Risk Factors'!$J107</f>
        <v>-6.2244800000000003E-2</v>
      </c>
      <c r="AA107" s="25">
        <f>'Asset Returns'!AA107-'Risk Factors'!$J107</f>
        <v>-7.5572199999999992E-2</v>
      </c>
      <c r="AB107" s="25">
        <f>'Asset Returns'!AB107-'Risk Factors'!$J107</f>
        <v>-8.2913750000000008E-2</v>
      </c>
      <c r="AC107" s="25">
        <f>'Asset Returns'!AC107-'Risk Factors'!$J107</f>
        <v>-0.11039119999999999</v>
      </c>
    </row>
    <row r="108" spans="5:29">
      <c r="E108" s="421">
        <f>'Asset Returns'!E108</f>
        <v>43434</v>
      </c>
      <c r="F108" s="25">
        <f>'Asset Returns'!F108-'Risk Factors'!$J108</f>
        <v>1.6788294398392158E-2</v>
      </c>
      <c r="G108" s="25">
        <f>'Asset Returns'!G108-'Risk Factors'!$J108</f>
        <v>0.18797905859750233</v>
      </c>
      <c r="H108" s="25">
        <f>'Asset Returns'!H108-'Risk Factors'!$J108</f>
        <v>-7.2619242747742313E-2</v>
      </c>
      <c r="I108" s="25">
        <f>'Asset Returns'!I108-'Risk Factors'!$J108</f>
        <v>1.6942190753852528E-2</v>
      </c>
      <c r="J108" s="25">
        <f>'Asset Returns'!J108-'Risk Factors'!$J108</f>
        <v>2.0340970952671202E-2</v>
      </c>
      <c r="K108" s="25">
        <f>'Asset Returns'!K108-'Risk Factors'!$J108</f>
        <v>7.40550029748668E-3</v>
      </c>
      <c r="L108" s="25">
        <f>'Asset Returns'!L108-'Risk Factors'!$J108</f>
        <v>1.907436054327152E-2</v>
      </c>
      <c r="M108" s="25">
        <f>'Asset Returns'!M108-'Risk Factors'!$J108</f>
        <v>8.8484602998682577E-2</v>
      </c>
      <c r="N108" s="25">
        <f>'Asset Returns'!N108-'Risk Factors'!$J108</f>
        <v>5.424103183996911E-2</v>
      </c>
      <c r="P108" s="421">
        <f>'Asset Returns'!P108</f>
        <v>43434</v>
      </c>
      <c r="Q108" s="25">
        <f>'Asset Returns'!Q108-'Risk Factors'!$J108</f>
        <v>-2.4283438519326667E-3</v>
      </c>
      <c r="R108" s="25">
        <f>'Asset Returns'!R108-'Risk Factors'!$J108</f>
        <v>-3.2200263276975651E-2</v>
      </c>
      <c r="S108" s="260"/>
      <c r="T108" s="421">
        <f>'Asset Returns'!T108</f>
        <v>43434</v>
      </c>
      <c r="U108" s="25">
        <f>'Asset Returns'!U108-'Risk Factors'!$J108</f>
        <v>2.265472E-2</v>
      </c>
      <c r="V108" s="25">
        <f>'Asset Returns'!V108-'Risk Factors'!$J108</f>
        <v>0.10122149999999999</v>
      </c>
      <c r="W108" s="25">
        <f>'Asset Returns'!W108-'Risk Factors'!$J108</f>
        <v>3.4407529999999999E-2</v>
      </c>
      <c r="X108" s="25">
        <f>'Asset Returns'!X108-'Risk Factors'!$J108</f>
        <v>3.2430070340095284E-2</v>
      </c>
      <c r="Y108" s="25">
        <f>'Asset Returns'!Y108-'Risk Factors'!$J108</f>
        <v>3.5207499999999996E-2</v>
      </c>
      <c r="Z108" s="25">
        <f>'Asset Returns'!Z108-'Risk Factors'!$J108</f>
        <v>-6.2962099999999993E-2</v>
      </c>
      <c r="AA108" s="25">
        <f>'Asset Returns'!AA108-'Risk Factors'!$J108</f>
        <v>9.6775000000000003E-3</v>
      </c>
      <c r="AB108" s="25">
        <f>'Asset Returns'!AB108-'Risk Factors'!$J108</f>
        <v>1.21805E-2</v>
      </c>
      <c r="AC108" s="25">
        <f>'Asset Returns'!AC108-'Risk Factors'!$J108</f>
        <v>3.2751299999999997E-2</v>
      </c>
    </row>
    <row r="109" spans="5:29">
      <c r="E109" s="421">
        <f>'Asset Returns'!E109</f>
        <v>43465</v>
      </c>
      <c r="F109" s="25">
        <f>'Asset Returns'!F109-'Risk Factors'!$J109</f>
        <v>-8.3281011097410582E-2</v>
      </c>
      <c r="G109" s="25">
        <f>'Asset Returns'!G109-'Risk Factors'!$J109</f>
        <v>8.0147396977135032E-3</v>
      </c>
      <c r="H109" s="25">
        <f>'Asset Returns'!H109-'Risk Factors'!$J109</f>
        <v>-4.9869404849249052E-2</v>
      </c>
      <c r="I109" s="25">
        <f>'Asset Returns'!I109-'Risk Factors'!$J109</f>
        <v>5.5298446443165119E-4</v>
      </c>
      <c r="J109" s="25">
        <f>'Asset Returns'!J109-'Risk Factors'!$J109</f>
        <v>-2.7337201907790196E-2</v>
      </c>
      <c r="K109" s="25">
        <f>'Asset Returns'!K109-'Risk Factors'!$J109</f>
        <v>-6.2643003793698124E-2</v>
      </c>
      <c r="L109" s="25">
        <f>'Asset Returns'!L109-'Risk Factors'!$J109</f>
        <v>-0.10015078336385562</v>
      </c>
      <c r="M109" s="25">
        <f>'Asset Returns'!M109-'Risk Factors'!$J109</f>
        <v>-8.7196853572695784E-2</v>
      </c>
      <c r="N109" s="25">
        <f>'Asset Returns'!N109-'Risk Factors'!$J109</f>
        <v>-0.12341141069767812</v>
      </c>
      <c r="P109" s="421">
        <f>'Asset Returns'!P109</f>
        <v>43465</v>
      </c>
      <c r="Q109" s="25">
        <f>'Asset Returns'!Q109-'Risk Factors'!$J109</f>
        <v>2.2365007289056452E-2</v>
      </c>
      <c r="R109" s="25">
        <f>'Asset Returns'!R109-'Risk Factors'!$J109</f>
        <v>3.4794951209164107E-2</v>
      </c>
      <c r="S109" s="260"/>
      <c r="T109" s="421">
        <f>'Asset Returns'!T109</f>
        <v>43465</v>
      </c>
      <c r="U109" s="25">
        <f>'Asset Returns'!U109-'Risk Factors'!$J109</f>
        <v>-6.5934359999999997E-2</v>
      </c>
      <c r="V109" s="25">
        <f>'Asset Returns'!V109-'Risk Factors'!$J109</f>
        <v>-6.7102999999999996E-2</v>
      </c>
      <c r="W109" s="25">
        <f>'Asset Returns'!W109-'Risk Factors'!$J109</f>
        <v>-6.6389999999999991E-2</v>
      </c>
      <c r="X109" s="25">
        <f>'Asset Returns'!X109-'Risk Factors'!$J109</f>
        <v>-5.068272550888784E-2</v>
      </c>
      <c r="Y109" s="25">
        <f>'Asset Returns'!Y109-'Risk Factors'!$J109</f>
        <v>0.28794369999999997</v>
      </c>
      <c r="Z109" s="25">
        <f>'Asset Returns'!Z109-'Risk Factors'!$J109</f>
        <v>4.2016199999999997E-2</v>
      </c>
      <c r="AA109" s="25">
        <f>'Asset Returns'!AA109-'Risk Factors'!$J109</f>
        <v>-7.8057299999999996E-2</v>
      </c>
      <c r="AB109" s="25">
        <f>'Asset Returns'!AB109-'Risk Factors'!$J109</f>
        <v>-7.8438469999999996E-2</v>
      </c>
      <c r="AC109" s="25">
        <f>'Asset Returns'!AC109-'Risk Factors'!$J109</f>
        <v>-0.17812280000000003</v>
      </c>
    </row>
    <row r="110" spans="5:29">
      <c r="V110" s="285"/>
    </row>
    <row r="111" spans="5:29">
      <c r="Q111" s="261"/>
      <c r="R111" s="261"/>
      <c r="V111" s="285"/>
    </row>
    <row r="112" spans="5:29">
      <c r="V112" s="285"/>
    </row>
    <row r="113" spans="22:22">
      <c r="V113" s="285"/>
    </row>
    <row r="114" spans="22:22">
      <c r="V114" s="25"/>
    </row>
    <row r="115" spans="22:22">
      <c r="V115" s="25"/>
    </row>
    <row r="116" spans="22:22">
      <c r="V116" s="25"/>
    </row>
    <row r="117" spans="22:22">
      <c r="V117" s="25"/>
    </row>
    <row r="118" spans="22:22">
      <c r="V118" s="25"/>
    </row>
    <row r="119" spans="22:22">
      <c r="V119" s="25"/>
    </row>
    <row r="120" spans="22:22">
      <c r="V120" s="25"/>
    </row>
    <row r="121" spans="22:22">
      <c r="V121" s="25"/>
    </row>
    <row r="122" spans="22:22">
      <c r="V122" s="25"/>
    </row>
    <row r="123" spans="22:22">
      <c r="V123" s="25"/>
    </row>
    <row r="124" spans="22:22">
      <c r="V124" s="25"/>
    </row>
    <row r="125" spans="22:22">
      <c r="V125" s="25"/>
    </row>
  </sheetData>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49"/>
  <sheetViews>
    <sheetView workbookViewId="0">
      <selection activeCell="K34" sqref="K34"/>
    </sheetView>
  </sheetViews>
  <sheetFormatPr baseColWidth="10" defaultRowHeight="15"/>
  <cols>
    <col min="1" max="1" width="5.7109375" style="9" customWidth="1"/>
    <col min="2" max="4" width="15.7109375" style="9" customWidth="1"/>
    <col min="5" max="5" width="11.42578125" style="9" customWidth="1"/>
    <col min="6" max="6" width="19.85546875" style="9" bestFit="1" customWidth="1"/>
    <col min="7" max="7" width="11.42578125" style="9" customWidth="1"/>
    <col min="8" max="8" width="15.7109375" style="9" customWidth="1"/>
    <col min="9" max="11" width="11.42578125" style="9"/>
    <col min="12" max="12" width="13.28515625" style="9" bestFit="1" customWidth="1"/>
    <col min="13" max="13" width="11.42578125" style="9" customWidth="1"/>
    <col min="14" max="18" width="11.42578125" style="9"/>
    <col min="19" max="19" width="5.7109375" style="9" customWidth="1"/>
    <col min="20" max="16384" width="11.42578125" style="9"/>
  </cols>
  <sheetData>
    <row r="2" spans="2:19" ht="15" customHeight="1">
      <c r="E2" s="14"/>
      <c r="F2" s="452"/>
      <c r="G2" s="452"/>
      <c r="H2" s="452"/>
      <c r="I2" s="452"/>
      <c r="J2" s="452"/>
      <c r="K2" s="452"/>
      <c r="L2" s="452"/>
      <c r="M2" s="452"/>
      <c r="N2" s="452"/>
      <c r="O2" s="14"/>
    </row>
    <row r="3" spans="2:19" ht="15" customHeight="1">
      <c r="E3" s="93"/>
      <c r="F3" s="452"/>
      <c r="G3" s="452"/>
      <c r="H3" s="452"/>
      <c r="I3" s="452"/>
      <c r="J3" s="452"/>
      <c r="K3" s="452"/>
      <c r="L3" s="452"/>
      <c r="M3" s="452"/>
      <c r="N3" s="452"/>
      <c r="O3" s="93"/>
    </row>
    <row r="4" spans="2:19" ht="15" customHeight="1">
      <c r="E4" s="14"/>
      <c r="F4" s="452"/>
      <c r="G4" s="452"/>
      <c r="H4" s="452"/>
      <c r="I4" s="452"/>
      <c r="J4" s="452"/>
      <c r="K4" s="452"/>
      <c r="L4" s="452"/>
      <c r="M4" s="452"/>
      <c r="N4" s="452"/>
      <c r="O4" s="14"/>
    </row>
    <row r="6" spans="2:19" ht="15.75" thickBot="1"/>
    <row r="7" spans="2:19" ht="19.5" thickBot="1">
      <c r="B7" s="250"/>
      <c r="C7" s="251"/>
      <c r="D7" s="251"/>
      <c r="E7" s="251"/>
      <c r="F7" s="251"/>
      <c r="G7" s="251"/>
      <c r="H7" s="251"/>
      <c r="I7" s="251"/>
      <c r="J7" s="251"/>
      <c r="K7" s="251"/>
      <c r="L7" s="251"/>
      <c r="M7" s="251"/>
      <c r="N7" s="251"/>
      <c r="O7" s="251"/>
      <c r="P7" s="251"/>
      <c r="Q7" s="251"/>
      <c r="R7" s="251"/>
      <c r="S7" s="252"/>
    </row>
    <row r="8" spans="2:19">
      <c r="B8" s="194"/>
      <c r="C8" s="195"/>
      <c r="D8" s="195"/>
      <c r="E8" s="195"/>
      <c r="F8" s="195"/>
      <c r="G8" s="195"/>
      <c r="H8" s="195"/>
      <c r="I8" s="195"/>
      <c r="J8" s="195"/>
      <c r="K8" s="195"/>
      <c r="L8" s="195"/>
      <c r="M8" s="195"/>
      <c r="N8" s="195"/>
      <c r="O8" s="195"/>
      <c r="P8" s="195"/>
      <c r="Q8" s="195"/>
      <c r="R8" s="195"/>
      <c r="S8" s="196"/>
    </row>
    <row r="9" spans="2:19">
      <c r="B9" s="197"/>
      <c r="C9" s="198"/>
      <c r="D9" s="198"/>
      <c r="E9" s="198"/>
      <c r="F9" s="198"/>
      <c r="G9" s="198"/>
      <c r="H9" s="198"/>
      <c r="I9" s="198"/>
      <c r="J9" s="198"/>
      <c r="K9" s="198"/>
      <c r="L9" s="198"/>
      <c r="M9" s="198"/>
      <c r="N9" s="198"/>
      <c r="O9" s="198"/>
      <c r="P9" s="198"/>
      <c r="Q9" s="198"/>
      <c r="R9" s="198"/>
      <c r="S9" s="199"/>
    </row>
    <row r="10" spans="2:19">
      <c r="B10" s="197"/>
      <c r="C10" s="198"/>
      <c r="D10" s="198"/>
      <c r="E10" s="198"/>
      <c r="F10" s="198"/>
      <c r="G10" s="198"/>
      <c r="H10" s="198"/>
      <c r="I10" s="198"/>
      <c r="J10" s="198"/>
      <c r="K10" s="198"/>
      <c r="L10" s="198"/>
      <c r="M10" s="198"/>
      <c r="N10" s="198"/>
      <c r="O10" s="198"/>
      <c r="P10" s="198"/>
      <c r="Q10" s="198"/>
      <c r="R10" s="198"/>
      <c r="S10" s="199"/>
    </row>
    <row r="11" spans="2:19">
      <c r="B11" s="197"/>
      <c r="C11" s="198"/>
      <c r="D11" s="198"/>
      <c r="E11" s="198"/>
      <c r="F11" s="198"/>
      <c r="G11" s="198"/>
      <c r="H11" s="198"/>
      <c r="I11" s="198"/>
      <c r="J11" s="198"/>
      <c r="K11" s="198"/>
      <c r="L11" s="198"/>
      <c r="M11" s="198"/>
      <c r="N11" s="198"/>
      <c r="O11" s="198"/>
      <c r="P11" s="198"/>
      <c r="Q11" s="198"/>
      <c r="R11" s="198"/>
      <c r="S11" s="199"/>
    </row>
    <row r="12" spans="2:19">
      <c r="B12" s="197"/>
      <c r="C12" s="198"/>
      <c r="D12" s="198"/>
      <c r="E12" s="198"/>
      <c r="F12" s="198"/>
      <c r="G12" s="198"/>
      <c r="H12" s="198"/>
      <c r="I12" s="198"/>
      <c r="J12" s="198"/>
      <c r="K12" s="198"/>
      <c r="L12" s="198"/>
      <c r="M12" s="198"/>
      <c r="N12" s="198"/>
      <c r="O12" s="198"/>
      <c r="P12" s="198"/>
      <c r="Q12" s="198"/>
      <c r="R12" s="198"/>
      <c r="S12" s="199"/>
    </row>
    <row r="13" spans="2:19">
      <c r="B13" s="197"/>
      <c r="C13" s="198"/>
      <c r="D13" s="198"/>
      <c r="E13" s="198"/>
      <c r="F13" s="198"/>
      <c r="G13" s="198"/>
      <c r="H13" s="198"/>
      <c r="I13" s="198"/>
      <c r="J13" s="198"/>
      <c r="K13" s="198"/>
      <c r="L13" s="198"/>
      <c r="M13" s="198"/>
      <c r="N13" s="198"/>
      <c r="O13" s="198"/>
      <c r="P13" s="198"/>
      <c r="Q13" s="198"/>
      <c r="R13" s="198"/>
      <c r="S13" s="199"/>
    </row>
    <row r="14" spans="2:19">
      <c r="B14" s="197"/>
      <c r="C14" s="198"/>
      <c r="D14" s="198"/>
      <c r="E14" s="198"/>
      <c r="F14" s="198"/>
      <c r="G14" s="198"/>
      <c r="H14" s="198"/>
      <c r="I14" s="198"/>
      <c r="J14" s="198"/>
      <c r="K14" s="198"/>
      <c r="L14" s="198"/>
      <c r="M14" s="198"/>
      <c r="N14" s="198"/>
      <c r="O14" s="198"/>
      <c r="P14" s="198"/>
      <c r="Q14" s="198"/>
      <c r="R14" s="198"/>
      <c r="S14" s="199"/>
    </row>
    <row r="15" spans="2:19">
      <c r="B15" s="197"/>
      <c r="C15" s="198"/>
      <c r="D15" s="198"/>
      <c r="E15" s="198"/>
      <c r="F15" s="198"/>
      <c r="G15" s="198"/>
      <c r="H15" s="198"/>
      <c r="I15" s="198"/>
      <c r="J15" s="198"/>
      <c r="K15" s="198"/>
      <c r="L15" s="198"/>
      <c r="M15" s="198"/>
      <c r="N15" s="198"/>
      <c r="O15" s="198"/>
      <c r="P15" s="198"/>
      <c r="Q15" s="198"/>
      <c r="R15" s="198"/>
      <c r="S15" s="199"/>
    </row>
    <row r="16" spans="2:19">
      <c r="B16" s="197"/>
      <c r="C16" s="198"/>
      <c r="D16" s="198"/>
      <c r="E16" s="198"/>
      <c r="F16" s="198"/>
      <c r="G16" s="198"/>
      <c r="H16" s="198"/>
      <c r="I16" s="198"/>
      <c r="J16" s="198"/>
      <c r="K16" s="198"/>
      <c r="L16" s="198"/>
      <c r="M16" s="198"/>
      <c r="N16" s="198"/>
      <c r="O16" s="198"/>
      <c r="P16" s="198"/>
      <c r="Q16" s="198"/>
      <c r="R16" s="198"/>
      <c r="S16" s="199"/>
    </row>
    <row r="17" spans="2:19">
      <c r="B17" s="197"/>
      <c r="C17" s="198"/>
      <c r="D17" s="198"/>
      <c r="E17" s="198"/>
      <c r="F17" s="198"/>
      <c r="G17" s="198"/>
      <c r="H17" s="198"/>
      <c r="I17" s="198"/>
      <c r="J17" s="198"/>
      <c r="K17" s="198"/>
      <c r="L17" s="198"/>
      <c r="M17" s="198"/>
      <c r="N17" s="198"/>
      <c r="O17" s="198"/>
      <c r="P17" s="198"/>
      <c r="Q17" s="198"/>
      <c r="R17" s="198"/>
      <c r="S17" s="199"/>
    </row>
    <row r="18" spans="2:19">
      <c r="B18" s="197"/>
      <c r="C18" s="198"/>
      <c r="D18" s="198"/>
      <c r="E18" s="198"/>
      <c r="F18" s="198"/>
      <c r="G18" s="198"/>
      <c r="H18" s="198"/>
      <c r="I18" s="198"/>
      <c r="J18" s="198"/>
      <c r="K18" s="198"/>
      <c r="L18" s="198"/>
      <c r="M18" s="198"/>
      <c r="N18" s="198"/>
      <c r="O18" s="198"/>
      <c r="P18" s="198"/>
      <c r="Q18" s="198"/>
      <c r="R18" s="198"/>
      <c r="S18" s="199"/>
    </row>
    <row r="19" spans="2:19">
      <c r="B19" s="197"/>
      <c r="C19" s="198"/>
      <c r="D19" s="198"/>
      <c r="E19" s="198"/>
      <c r="F19" s="198"/>
      <c r="G19" s="198"/>
      <c r="H19" s="198"/>
      <c r="I19" s="198"/>
      <c r="J19" s="198"/>
      <c r="K19" s="198"/>
      <c r="L19" s="198"/>
      <c r="M19" s="198"/>
      <c r="N19" s="198"/>
      <c r="O19" s="198"/>
      <c r="P19" s="198"/>
      <c r="Q19" s="198"/>
      <c r="R19" s="198"/>
      <c r="S19" s="199"/>
    </row>
    <row r="20" spans="2:19">
      <c r="B20" s="197"/>
      <c r="C20" s="198"/>
      <c r="D20" s="198"/>
      <c r="E20" s="198"/>
      <c r="F20" s="198"/>
      <c r="G20" s="198"/>
      <c r="H20" s="198"/>
      <c r="I20" s="198"/>
      <c r="J20" s="198"/>
      <c r="K20" s="198"/>
      <c r="L20" s="198"/>
      <c r="M20" s="198"/>
      <c r="N20" s="198"/>
      <c r="O20" s="198"/>
      <c r="P20" s="198"/>
      <c r="Q20" s="198"/>
      <c r="R20" s="198"/>
      <c r="S20" s="199"/>
    </row>
    <row r="21" spans="2:19">
      <c r="B21" s="197"/>
      <c r="C21" s="198"/>
      <c r="D21" s="198"/>
      <c r="E21" s="198"/>
      <c r="F21" s="198"/>
      <c r="G21" s="198"/>
      <c r="H21" s="198"/>
      <c r="I21" s="198"/>
      <c r="J21" s="198"/>
      <c r="K21" s="198"/>
      <c r="L21" s="198"/>
      <c r="M21" s="198"/>
      <c r="N21" s="198"/>
      <c r="O21" s="198"/>
      <c r="P21" s="198"/>
      <c r="Q21" s="198"/>
      <c r="R21" s="198"/>
      <c r="S21" s="199"/>
    </row>
    <row r="22" spans="2:19">
      <c r="B22" s="197"/>
      <c r="C22" s="198"/>
      <c r="D22" s="198"/>
      <c r="E22" s="198"/>
      <c r="F22" s="198"/>
      <c r="G22" s="198"/>
      <c r="H22" s="198"/>
      <c r="I22" s="198"/>
      <c r="J22" s="198"/>
      <c r="K22" s="198"/>
      <c r="L22" s="198"/>
      <c r="M22" s="198"/>
      <c r="N22" s="198"/>
      <c r="O22" s="198"/>
      <c r="P22" s="198"/>
      <c r="Q22" s="198"/>
      <c r="R22" s="198"/>
      <c r="S22" s="199"/>
    </row>
    <row r="23" spans="2:19">
      <c r="B23" s="197"/>
      <c r="C23" s="198"/>
      <c r="D23" s="198"/>
      <c r="E23" s="198"/>
      <c r="F23" s="198"/>
      <c r="G23" s="198"/>
      <c r="H23" s="198"/>
      <c r="I23" s="198"/>
      <c r="J23" s="198"/>
      <c r="K23" s="198"/>
      <c r="L23" s="198"/>
      <c r="M23" s="198"/>
      <c r="N23" s="198"/>
      <c r="O23" s="198"/>
      <c r="P23" s="198"/>
      <c r="Q23" s="198"/>
      <c r="R23" s="198"/>
      <c r="S23" s="199"/>
    </row>
    <row r="24" spans="2:19">
      <c r="B24" s="197"/>
      <c r="C24" s="198"/>
      <c r="D24" s="198"/>
      <c r="E24" s="198"/>
      <c r="F24" s="198"/>
      <c r="G24" s="198"/>
      <c r="H24" s="198"/>
      <c r="I24" s="198"/>
      <c r="J24" s="198"/>
      <c r="K24" s="198"/>
      <c r="L24" s="198"/>
      <c r="M24" s="198"/>
      <c r="N24" s="198"/>
      <c r="O24" s="198"/>
      <c r="P24" s="198"/>
      <c r="Q24" s="198"/>
      <c r="R24" s="198"/>
      <c r="S24" s="199"/>
    </row>
    <row r="25" spans="2:19">
      <c r="B25" s="197"/>
      <c r="C25" s="198"/>
      <c r="D25" s="198"/>
      <c r="E25" s="198"/>
      <c r="F25" s="198"/>
      <c r="G25" s="198"/>
      <c r="H25" s="198"/>
      <c r="I25" s="198"/>
      <c r="J25" s="198"/>
      <c r="K25" s="198"/>
      <c r="L25" s="198"/>
      <c r="M25" s="198"/>
      <c r="N25" s="198"/>
      <c r="O25" s="198"/>
      <c r="P25" s="198"/>
      <c r="Q25" s="198"/>
      <c r="R25" s="198"/>
      <c r="S25" s="199"/>
    </row>
    <row r="26" spans="2:19">
      <c r="B26" s="197"/>
      <c r="C26" s="198"/>
      <c r="D26" s="198"/>
      <c r="E26" s="198"/>
      <c r="F26" s="198"/>
      <c r="G26" s="198"/>
      <c r="H26" s="198"/>
      <c r="I26" s="198"/>
      <c r="J26" s="198"/>
      <c r="K26" s="198"/>
      <c r="L26" s="198"/>
      <c r="M26" s="198"/>
      <c r="N26" s="198"/>
      <c r="O26" s="198"/>
      <c r="P26" s="198"/>
      <c r="Q26" s="198"/>
      <c r="R26" s="198"/>
      <c r="S26" s="199"/>
    </row>
    <row r="27" spans="2:19">
      <c r="B27" s="197"/>
      <c r="C27" s="198"/>
      <c r="D27" s="198"/>
      <c r="E27" s="198"/>
      <c r="F27" s="198"/>
      <c r="G27" s="198"/>
      <c r="H27" s="198"/>
      <c r="I27" s="198"/>
      <c r="J27" s="198"/>
      <c r="K27" s="198"/>
      <c r="L27" s="198"/>
      <c r="M27" s="198"/>
      <c r="N27" s="198"/>
      <c r="O27" s="198"/>
      <c r="P27" s="198"/>
      <c r="Q27" s="198"/>
      <c r="R27" s="198"/>
      <c r="S27" s="199"/>
    </row>
    <row r="28" spans="2:19">
      <c r="B28" s="197"/>
      <c r="C28" s="198"/>
      <c r="D28" s="198"/>
      <c r="E28" s="198"/>
      <c r="F28" s="198"/>
      <c r="G28" s="198"/>
      <c r="H28" s="198"/>
      <c r="I28" s="198"/>
      <c r="J28" s="198"/>
      <c r="K28" s="198"/>
      <c r="L28" s="198"/>
      <c r="M28" s="198"/>
      <c r="N28" s="198"/>
      <c r="O28" s="198"/>
      <c r="P28" s="198"/>
      <c r="Q28" s="198"/>
      <c r="R28" s="198"/>
      <c r="S28" s="199"/>
    </row>
    <row r="29" spans="2:19">
      <c r="B29" s="197"/>
      <c r="C29" s="198"/>
      <c r="D29" s="198"/>
      <c r="E29" s="198"/>
      <c r="F29" s="198"/>
      <c r="G29" s="198"/>
      <c r="H29" s="198"/>
      <c r="I29" s="198"/>
      <c r="J29" s="198"/>
      <c r="K29" s="198"/>
      <c r="L29" s="198"/>
      <c r="M29" s="198"/>
      <c r="N29" s="198"/>
      <c r="O29" s="198"/>
      <c r="P29" s="198"/>
      <c r="Q29" s="198"/>
      <c r="R29" s="198"/>
      <c r="S29" s="199"/>
    </row>
    <row r="30" spans="2:19">
      <c r="B30" s="197"/>
      <c r="C30" s="198"/>
      <c r="D30" s="198"/>
      <c r="E30" s="198"/>
      <c r="F30" s="198"/>
      <c r="G30" s="198"/>
      <c r="H30" s="198"/>
      <c r="I30" s="198"/>
      <c r="J30" s="198"/>
      <c r="K30" s="198"/>
      <c r="L30" s="198"/>
      <c r="M30" s="198"/>
      <c r="N30" s="198"/>
      <c r="O30" s="198"/>
      <c r="P30" s="198"/>
      <c r="Q30" s="198"/>
      <c r="R30" s="198"/>
      <c r="S30" s="199"/>
    </row>
    <row r="31" spans="2:19">
      <c r="B31" s="197"/>
      <c r="C31" s="198"/>
      <c r="D31" s="198"/>
      <c r="E31" s="198"/>
      <c r="F31" s="198"/>
      <c r="G31" s="198"/>
      <c r="H31" s="198"/>
      <c r="I31" s="198"/>
      <c r="J31" s="198"/>
      <c r="K31" s="198"/>
      <c r="L31" s="198"/>
      <c r="M31" s="198"/>
      <c r="N31" s="198"/>
      <c r="O31" s="198"/>
      <c r="P31" s="198"/>
      <c r="Q31" s="198"/>
      <c r="R31" s="198"/>
      <c r="S31" s="199"/>
    </row>
    <row r="32" spans="2:19">
      <c r="B32" s="197"/>
      <c r="C32" s="198"/>
      <c r="D32" s="198"/>
      <c r="E32" s="198"/>
      <c r="F32" s="198"/>
      <c r="G32" s="198"/>
      <c r="H32" s="198"/>
      <c r="I32" s="198"/>
      <c r="J32" s="198"/>
      <c r="K32" s="198"/>
      <c r="L32" s="198"/>
      <c r="M32" s="198"/>
      <c r="N32" s="198"/>
      <c r="O32" s="198"/>
      <c r="P32" s="198"/>
      <c r="Q32" s="198"/>
      <c r="R32" s="198"/>
      <c r="S32" s="199"/>
    </row>
    <row r="33" spans="2:19">
      <c r="B33" s="197"/>
      <c r="C33" s="198"/>
      <c r="D33" s="198"/>
      <c r="E33" s="198"/>
      <c r="F33" s="198"/>
      <c r="G33" s="198"/>
      <c r="H33" s="198"/>
      <c r="I33" s="198"/>
      <c r="J33" s="198"/>
      <c r="K33" s="198"/>
      <c r="L33" s="198"/>
      <c r="M33" s="198"/>
      <c r="N33" s="198"/>
      <c r="O33" s="198"/>
      <c r="P33" s="198"/>
      <c r="Q33" s="198"/>
      <c r="R33" s="198"/>
      <c r="S33" s="199"/>
    </row>
    <row r="34" spans="2:19">
      <c r="B34" s="197"/>
      <c r="C34" s="198"/>
      <c r="D34" s="198"/>
      <c r="E34" s="198"/>
      <c r="F34" s="198"/>
      <c r="G34" s="198"/>
      <c r="H34" s="198"/>
      <c r="I34" s="198"/>
      <c r="J34" s="198"/>
      <c r="K34" s="198"/>
      <c r="L34" s="198"/>
      <c r="M34" s="198"/>
      <c r="N34" s="198"/>
      <c r="O34" s="198"/>
      <c r="P34" s="198"/>
      <c r="Q34" s="198"/>
      <c r="R34" s="198"/>
      <c r="S34" s="199"/>
    </row>
    <row r="35" spans="2:19">
      <c r="B35" s="197"/>
      <c r="C35" s="198"/>
      <c r="D35" s="198"/>
      <c r="E35" s="198"/>
      <c r="F35" s="198"/>
      <c r="G35" s="198"/>
      <c r="H35" s="198"/>
      <c r="I35" s="198"/>
      <c r="J35" s="198"/>
      <c r="K35" s="198"/>
      <c r="L35" s="198"/>
      <c r="M35" s="198"/>
      <c r="N35" s="198"/>
      <c r="O35" s="198"/>
      <c r="P35" s="198"/>
      <c r="Q35" s="198"/>
      <c r="R35" s="198"/>
      <c r="S35" s="199"/>
    </row>
    <row r="36" spans="2:19">
      <c r="B36" s="197"/>
      <c r="C36" s="198"/>
      <c r="D36" s="198"/>
      <c r="E36" s="198"/>
      <c r="F36" s="198"/>
      <c r="G36" s="198"/>
      <c r="H36" s="198"/>
      <c r="I36" s="198"/>
      <c r="J36" s="198"/>
      <c r="K36" s="198"/>
      <c r="L36" s="198"/>
      <c r="M36" s="198"/>
      <c r="N36" s="198"/>
      <c r="O36" s="198"/>
      <c r="P36" s="198"/>
      <c r="Q36" s="198"/>
      <c r="R36" s="198"/>
      <c r="S36" s="199"/>
    </row>
    <row r="37" spans="2:19">
      <c r="B37" s="197"/>
      <c r="C37" s="198"/>
      <c r="D37" s="198"/>
      <c r="E37" s="198"/>
      <c r="F37" s="198"/>
      <c r="G37" s="198"/>
      <c r="H37" s="198"/>
      <c r="I37" s="198"/>
      <c r="J37" s="198"/>
      <c r="K37" s="198"/>
      <c r="L37" s="198"/>
      <c r="M37" s="198"/>
      <c r="N37" s="198"/>
      <c r="O37" s="198"/>
      <c r="P37" s="198"/>
      <c r="Q37" s="198"/>
      <c r="R37" s="198"/>
      <c r="S37" s="199"/>
    </row>
    <row r="38" spans="2:19">
      <c r="B38" s="197"/>
      <c r="C38" s="198"/>
      <c r="D38" s="198"/>
      <c r="E38" s="198"/>
      <c r="F38" s="198"/>
      <c r="G38" s="198"/>
      <c r="H38" s="198"/>
      <c r="I38" s="198"/>
      <c r="J38" s="198"/>
      <c r="K38" s="198"/>
      <c r="L38" s="198"/>
      <c r="M38" s="198"/>
      <c r="N38" s="198"/>
      <c r="O38" s="198"/>
      <c r="P38" s="198"/>
      <c r="Q38" s="198"/>
      <c r="R38" s="198"/>
      <c r="S38" s="199"/>
    </row>
    <row r="39" spans="2:19">
      <c r="B39" s="197"/>
      <c r="C39" s="198"/>
      <c r="D39" s="198"/>
      <c r="E39" s="198"/>
      <c r="F39" s="198"/>
      <c r="G39" s="198"/>
      <c r="H39" s="198"/>
      <c r="I39" s="198"/>
      <c r="J39" s="198"/>
      <c r="K39" s="198"/>
      <c r="L39" s="198"/>
      <c r="M39" s="198"/>
      <c r="N39" s="198"/>
      <c r="O39" s="198"/>
      <c r="P39" s="198"/>
      <c r="Q39" s="198"/>
      <c r="R39" s="198"/>
      <c r="S39" s="199"/>
    </row>
    <row r="40" spans="2:19">
      <c r="B40" s="197"/>
      <c r="C40" s="198"/>
      <c r="D40" s="198"/>
      <c r="E40" s="198"/>
      <c r="F40" s="198"/>
      <c r="G40" s="198"/>
      <c r="H40" s="198"/>
      <c r="I40" s="198"/>
      <c r="J40" s="198"/>
      <c r="K40" s="198"/>
      <c r="L40" s="198"/>
      <c r="M40" s="198"/>
      <c r="N40" s="198"/>
      <c r="O40" s="198"/>
      <c r="P40" s="198"/>
      <c r="Q40" s="198"/>
      <c r="R40" s="198"/>
      <c r="S40" s="199"/>
    </row>
    <row r="41" spans="2:19">
      <c r="B41" s="197"/>
      <c r="C41" s="198"/>
      <c r="D41" s="198"/>
      <c r="E41" s="198"/>
      <c r="F41" s="198"/>
      <c r="G41" s="198"/>
      <c r="H41" s="198"/>
      <c r="I41" s="198"/>
      <c r="J41" s="198"/>
      <c r="K41" s="198"/>
      <c r="L41" s="198"/>
      <c r="M41" s="198"/>
      <c r="N41" s="198"/>
      <c r="O41" s="198"/>
      <c r="P41" s="198"/>
      <c r="Q41" s="198"/>
      <c r="R41" s="198"/>
      <c r="S41" s="199"/>
    </row>
    <row r="42" spans="2:19">
      <c r="B42" s="197"/>
      <c r="C42" s="198"/>
      <c r="D42" s="198"/>
      <c r="E42" s="198"/>
      <c r="F42" s="198"/>
      <c r="G42" s="198"/>
      <c r="H42" s="198"/>
      <c r="I42" s="198"/>
      <c r="J42" s="198"/>
      <c r="K42" s="198"/>
      <c r="L42" s="198"/>
      <c r="M42" s="198"/>
      <c r="N42" s="198"/>
      <c r="O42" s="198"/>
      <c r="P42" s="198"/>
      <c r="Q42" s="198"/>
      <c r="R42" s="198"/>
      <c r="S42" s="199"/>
    </row>
    <row r="43" spans="2:19">
      <c r="B43" s="197"/>
      <c r="C43" s="198"/>
      <c r="D43" s="198"/>
      <c r="E43" s="198"/>
      <c r="F43" s="198"/>
      <c r="G43" s="198"/>
      <c r="H43" s="198"/>
      <c r="I43" s="198"/>
      <c r="J43" s="198"/>
      <c r="K43" s="198"/>
      <c r="L43" s="198"/>
      <c r="M43" s="198"/>
      <c r="N43" s="198"/>
      <c r="O43" s="198"/>
      <c r="P43" s="198"/>
      <c r="Q43" s="198"/>
      <c r="R43" s="198"/>
      <c r="S43" s="199"/>
    </row>
    <row r="44" spans="2:19">
      <c r="B44" s="197"/>
      <c r="C44" s="198"/>
      <c r="D44" s="198"/>
      <c r="E44" s="198"/>
      <c r="F44" s="198"/>
      <c r="G44" s="198"/>
      <c r="H44" s="198"/>
      <c r="I44" s="198"/>
      <c r="J44" s="198"/>
      <c r="K44" s="198"/>
      <c r="L44" s="198"/>
      <c r="M44" s="198"/>
      <c r="N44" s="198"/>
      <c r="O44" s="198"/>
      <c r="P44" s="198"/>
      <c r="Q44" s="198"/>
      <c r="R44" s="198"/>
      <c r="S44" s="199"/>
    </row>
    <row r="45" spans="2:19">
      <c r="B45" s="197"/>
      <c r="C45" s="198"/>
      <c r="D45" s="198"/>
      <c r="E45" s="198"/>
      <c r="F45" s="198"/>
      <c r="G45" s="198"/>
      <c r="H45" s="198"/>
      <c r="I45" s="198"/>
      <c r="J45" s="198"/>
      <c r="K45" s="198"/>
      <c r="L45" s="198"/>
      <c r="M45" s="198"/>
      <c r="N45" s="198"/>
      <c r="O45" s="198"/>
      <c r="P45" s="198"/>
      <c r="Q45" s="198"/>
      <c r="R45" s="198"/>
      <c r="S45" s="199"/>
    </row>
    <row r="46" spans="2:19">
      <c r="B46" s="197"/>
      <c r="C46" s="198"/>
      <c r="D46" s="198"/>
      <c r="E46" s="198"/>
      <c r="F46" s="198"/>
      <c r="G46" s="198"/>
      <c r="H46" s="198"/>
      <c r="I46" s="198"/>
      <c r="J46" s="198"/>
      <c r="K46" s="198"/>
      <c r="L46" s="198"/>
      <c r="M46" s="198"/>
      <c r="N46" s="198"/>
      <c r="O46" s="198"/>
      <c r="P46" s="198"/>
      <c r="Q46" s="198"/>
      <c r="R46" s="198"/>
      <c r="S46" s="199"/>
    </row>
    <row r="47" spans="2:19">
      <c r="B47" s="197"/>
      <c r="C47" s="198"/>
      <c r="D47" s="198"/>
      <c r="E47" s="198"/>
      <c r="F47" s="198"/>
      <c r="G47" s="198"/>
      <c r="H47" s="198"/>
      <c r="I47" s="198"/>
      <c r="J47" s="198"/>
      <c r="K47" s="198"/>
      <c r="L47" s="198"/>
      <c r="M47" s="198"/>
      <c r="N47" s="198"/>
      <c r="O47" s="198"/>
      <c r="P47" s="198"/>
      <c r="Q47" s="198"/>
      <c r="R47" s="198"/>
      <c r="S47" s="199"/>
    </row>
    <row r="48" spans="2:19" ht="21.75" customHeight="1" thickBot="1">
      <c r="B48" s="200"/>
      <c r="C48" s="201"/>
      <c r="D48" s="201"/>
      <c r="E48" s="201"/>
      <c r="F48" s="201"/>
      <c r="G48" s="201"/>
      <c r="H48" s="201"/>
      <c r="I48" s="201"/>
      <c r="J48" s="201"/>
      <c r="K48" s="201"/>
      <c r="L48" s="201"/>
      <c r="M48" s="201"/>
      <c r="N48" s="201"/>
      <c r="O48" s="201"/>
      <c r="P48" s="201"/>
      <c r="Q48" s="201"/>
      <c r="R48" s="201"/>
      <c r="S48" s="202"/>
    </row>
    <row r="49" spans="2:11">
      <c r="B49" s="10"/>
      <c r="C49" s="10"/>
      <c r="D49" s="10"/>
      <c r="E49" s="10"/>
      <c r="F49" s="10"/>
      <c r="G49" s="10"/>
      <c r="H49" s="10"/>
      <c r="I49" s="10"/>
      <c r="J49" s="10"/>
      <c r="K49" s="10"/>
    </row>
  </sheetData>
  <mergeCells count="1">
    <mergeCell ref="F2:N4"/>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5E838C"/>
    <pageSetUpPr autoPageBreaks="0"/>
  </sheetPr>
  <dimension ref="A1:D27"/>
  <sheetViews>
    <sheetView workbookViewId="0">
      <selection activeCell="F2" sqref="F2"/>
    </sheetView>
  </sheetViews>
  <sheetFormatPr baseColWidth="10" defaultColWidth="11.42578125" defaultRowHeight="12.75"/>
  <cols>
    <col min="1" max="2" width="2" style="13" customWidth="1"/>
    <col min="3" max="3" width="105.7109375" style="13" customWidth="1"/>
    <col min="4" max="4" width="2" style="13" customWidth="1"/>
    <col min="5" max="5" width="11.42578125" style="13" customWidth="1"/>
    <col min="6" max="6" width="45.42578125" style="13" customWidth="1"/>
    <col min="7" max="16384" width="11.42578125" style="13"/>
  </cols>
  <sheetData>
    <row r="1" spans="1:4">
      <c r="A1" s="256"/>
    </row>
    <row r="2" spans="1:4" ht="72" customHeight="1"/>
    <row r="4" spans="1:4" ht="15">
      <c r="B4" s="234"/>
      <c r="C4" s="235"/>
      <c r="D4" s="236"/>
    </row>
    <row r="5" spans="1:4" ht="15">
      <c r="B5" s="237"/>
      <c r="C5" s="238" t="s">
        <v>186</v>
      </c>
      <c r="D5" s="239"/>
    </row>
    <row r="6" spans="1:4" ht="60">
      <c r="B6" s="237"/>
      <c r="C6" s="240" t="s">
        <v>287</v>
      </c>
      <c r="D6" s="239"/>
    </row>
    <row r="7" spans="1:4" ht="15">
      <c r="B7" s="237"/>
      <c r="C7" s="241" t="s">
        <v>192</v>
      </c>
      <c r="D7" s="239"/>
    </row>
    <row r="8" spans="1:4" ht="15">
      <c r="B8" s="237"/>
      <c r="C8" s="242" t="s">
        <v>288</v>
      </c>
      <c r="D8" s="239"/>
    </row>
    <row r="9" spans="1:4" ht="15">
      <c r="B9" s="237"/>
      <c r="C9" s="242" t="s">
        <v>193</v>
      </c>
      <c r="D9" s="239"/>
    </row>
    <row r="10" spans="1:4" ht="15">
      <c r="B10" s="237"/>
      <c r="C10" s="242" t="s">
        <v>194</v>
      </c>
      <c r="D10" s="239"/>
    </row>
    <row r="11" spans="1:4" ht="15">
      <c r="B11" s="237"/>
      <c r="C11" s="242" t="s">
        <v>1</v>
      </c>
      <c r="D11" s="239"/>
    </row>
    <row r="12" spans="1:4" ht="15">
      <c r="B12" s="237"/>
      <c r="C12" s="242"/>
      <c r="D12" s="239"/>
    </row>
    <row r="13" spans="1:4" ht="72" customHeight="1">
      <c r="B13" s="237"/>
      <c r="C13" s="242"/>
      <c r="D13" s="239"/>
    </row>
    <row r="14" spans="1:4" ht="15">
      <c r="B14" s="237"/>
      <c r="C14" s="242"/>
      <c r="D14" s="239"/>
    </row>
    <row r="15" spans="1:4" ht="15">
      <c r="B15" s="237"/>
      <c r="C15" s="242"/>
      <c r="D15" s="239"/>
    </row>
    <row r="16" spans="1:4" ht="15">
      <c r="B16" s="237"/>
      <c r="C16" s="243" t="s">
        <v>159</v>
      </c>
      <c r="D16" s="239"/>
    </row>
    <row r="17" spans="2:4" ht="15">
      <c r="B17" s="237"/>
      <c r="C17" s="244" t="s">
        <v>195</v>
      </c>
      <c r="D17" s="239"/>
    </row>
    <row r="18" spans="2:4" ht="15">
      <c r="B18" s="237"/>
      <c r="C18" s="244" t="s">
        <v>290</v>
      </c>
      <c r="D18" s="239"/>
    </row>
    <row r="19" spans="2:4" ht="15">
      <c r="B19" s="237"/>
      <c r="C19" s="244"/>
      <c r="D19" s="239"/>
    </row>
    <row r="20" spans="2:4" ht="42" customHeight="1">
      <c r="B20" s="237"/>
      <c r="C20" s="244"/>
      <c r="D20" s="239"/>
    </row>
    <row r="21" spans="2:4" ht="15" customHeight="1">
      <c r="B21" s="237"/>
      <c r="C21" s="447" t="s">
        <v>196</v>
      </c>
      <c r="D21" s="239"/>
    </row>
    <row r="22" spans="2:4" ht="15" customHeight="1">
      <c r="B22" s="237"/>
      <c r="C22" s="448"/>
      <c r="D22" s="239"/>
    </row>
    <row r="23" spans="2:4" ht="15">
      <c r="B23" s="237"/>
      <c r="C23" s="245"/>
      <c r="D23" s="239"/>
    </row>
    <row r="24" spans="2:4" ht="30">
      <c r="B24" s="237"/>
      <c r="C24" s="246" t="s">
        <v>289</v>
      </c>
      <c r="D24" s="239"/>
    </row>
    <row r="25" spans="2:4" ht="15">
      <c r="B25" s="237"/>
      <c r="C25" s="245"/>
      <c r="D25" s="239"/>
    </row>
    <row r="26" spans="2:4" ht="15">
      <c r="B26" s="237"/>
      <c r="C26" s="245" t="s">
        <v>197</v>
      </c>
      <c r="D26" s="239"/>
    </row>
    <row r="27" spans="2:4" ht="15">
      <c r="B27" s="247"/>
      <c r="C27" s="248"/>
      <c r="D27" s="249"/>
    </row>
  </sheetData>
  <sheetProtection algorithmName="SHA-512" hashValue="J3umIo1Me1iDB+mSoifK6A00Xu7YOb8+qs77jdhjlbtl7XllLdTI6/14AA4WCNPL4IuvDkNaFNDmA4gJ5Gq/OA==" saltValue="8Qg71zPBaRvzBuqcmrt9xA==" spinCount="100000" sheet="1" objects="1" scenarios="1"/>
  <mergeCells count="1">
    <mergeCell ref="C21:C22"/>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E838C"/>
  </sheetPr>
  <dimension ref="A1"/>
  <sheetViews>
    <sheetView workbookViewId="0"/>
  </sheetViews>
  <sheetFormatPr baseColWidth="10" defaultRowHeight="15"/>
  <cols>
    <col min="1" max="16384" width="11.42578125" style="9"/>
  </cols>
  <sheetData/>
  <sheetProtection algorithmName="SHA-512" hashValue="ah5BkRcMNBJXm8ZeBUi0XGWjza4cQm4GATdzJssW+dhV0j/cK10WmETvI+JJKdo0CdwwshxynYs/DaTXh7k93g==" saltValue="f7cqsliABl0uZxhCUAuCSw==" spinCount="100000" sheet="1" objects="1" scenario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heetViews>
  <sheetFormatPr baseColWidth="10" defaultRowHeight="15"/>
  <sheetData>
    <row r="1" spans="1:3">
      <c r="A1" t="s">
        <v>169</v>
      </c>
    </row>
    <row r="2" spans="1:3">
      <c r="B2" t="s">
        <v>170</v>
      </c>
      <c r="C2" t="s">
        <v>173</v>
      </c>
    </row>
    <row r="3" spans="1:3" ht="409.5">
      <c r="B3" t="s">
        <v>171</v>
      </c>
      <c r="C3" s="368" t="s">
        <v>172</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pageSetUpPr fitToPage="1"/>
  </sheetPr>
  <dimension ref="B2:S49"/>
  <sheetViews>
    <sheetView zoomScaleNormal="100" workbookViewId="0">
      <selection activeCell="J10" sqref="J10"/>
    </sheetView>
  </sheetViews>
  <sheetFormatPr baseColWidth="10" defaultRowHeight="15"/>
  <cols>
    <col min="1" max="1" width="5.7109375" style="33" customWidth="1"/>
    <col min="2" max="4" width="15.7109375" style="33" customWidth="1"/>
    <col min="5" max="5" width="11.42578125" style="33" customWidth="1"/>
    <col min="6" max="6" width="19.85546875" style="33" bestFit="1" customWidth="1"/>
    <col min="7" max="7" width="11.42578125" style="33" customWidth="1"/>
    <col min="8" max="8" width="15.7109375" style="33" customWidth="1"/>
    <col min="9" max="11" width="11.42578125" style="33"/>
    <col min="12" max="12" width="13.28515625" style="33" bestFit="1" customWidth="1"/>
    <col min="13" max="13" width="11.42578125" style="33" customWidth="1"/>
    <col min="14" max="18" width="11.42578125" style="33"/>
    <col min="19" max="19" width="5.7109375" style="33" customWidth="1"/>
    <col min="20" max="16384" width="11.42578125" style="33"/>
  </cols>
  <sheetData>
    <row r="2" spans="2:19" ht="15" customHeight="1">
      <c r="E2" s="113"/>
      <c r="F2" s="452"/>
      <c r="G2" s="452"/>
      <c r="H2" s="452"/>
      <c r="I2" s="452"/>
      <c r="J2" s="452"/>
      <c r="K2" s="452"/>
      <c r="L2" s="452"/>
      <c r="M2" s="452"/>
      <c r="N2" s="452"/>
      <c r="O2" s="113"/>
    </row>
    <row r="3" spans="2:19" ht="15" customHeight="1">
      <c r="E3" s="377"/>
      <c r="F3" s="452"/>
      <c r="G3" s="452"/>
      <c r="H3" s="452"/>
      <c r="I3" s="452"/>
      <c r="J3" s="452"/>
      <c r="K3" s="452"/>
      <c r="L3" s="452"/>
      <c r="M3" s="452"/>
      <c r="N3" s="452"/>
      <c r="O3" s="377"/>
    </row>
    <row r="4" spans="2:19" ht="15" customHeight="1">
      <c r="E4" s="113"/>
      <c r="F4" s="452"/>
      <c r="G4" s="452"/>
      <c r="H4" s="452"/>
      <c r="I4" s="452"/>
      <c r="J4" s="452"/>
      <c r="K4" s="452"/>
      <c r="L4" s="452"/>
      <c r="M4" s="452"/>
      <c r="N4" s="452"/>
      <c r="O4" s="113"/>
    </row>
    <row r="6" spans="2:19" ht="15.75" thickBot="1"/>
    <row r="7" spans="2:19" ht="19.5" thickBot="1">
      <c r="B7" s="378" t="s">
        <v>212</v>
      </c>
      <c r="C7" s="379"/>
      <c r="D7" s="379"/>
      <c r="E7" s="379"/>
      <c r="F7" s="379"/>
      <c r="G7" s="379"/>
      <c r="H7" s="379"/>
      <c r="I7" s="379"/>
      <c r="J7" s="379"/>
      <c r="K7" s="379"/>
      <c r="L7" s="379"/>
      <c r="M7" s="379"/>
      <c r="N7" s="379"/>
      <c r="O7" s="379"/>
      <c r="P7" s="379"/>
      <c r="Q7" s="379"/>
      <c r="R7" s="379"/>
      <c r="S7" s="380"/>
    </row>
    <row r="8" spans="2:19" ht="15.75" thickBot="1">
      <c r="B8" s="381"/>
      <c r="C8" s="96"/>
      <c r="D8" s="96"/>
      <c r="E8" s="96"/>
      <c r="F8" s="96"/>
      <c r="G8" s="96"/>
      <c r="H8" s="96"/>
      <c r="I8" s="96"/>
      <c r="J8" s="96"/>
      <c r="K8" s="96"/>
      <c r="L8" s="113"/>
      <c r="M8" s="113"/>
      <c r="N8" s="113"/>
      <c r="O8" s="113"/>
      <c r="P8" s="113"/>
      <c r="Q8" s="113"/>
      <c r="R8" s="113"/>
      <c r="S8" s="382"/>
    </row>
    <row r="9" spans="2:19" ht="15.75" thickBot="1">
      <c r="B9" s="383"/>
      <c r="C9" s="453" t="s">
        <v>4</v>
      </c>
      <c r="D9" s="454"/>
      <c r="E9" s="113"/>
      <c r="F9" s="384" t="s">
        <v>198</v>
      </c>
      <c r="I9" s="455" t="s">
        <v>204</v>
      </c>
      <c r="J9" s="456"/>
      <c r="K9" s="113"/>
      <c r="L9" s="449" t="s">
        <v>208</v>
      </c>
      <c r="M9" s="450"/>
      <c r="N9" s="450"/>
      <c r="O9" s="450"/>
      <c r="P9" s="450"/>
      <c r="Q9" s="451"/>
      <c r="R9" s="170"/>
      <c r="S9" s="382"/>
    </row>
    <row r="10" spans="2:19" ht="15.75" thickBot="1">
      <c r="B10" s="383"/>
      <c r="C10" s="371" t="s">
        <v>199</v>
      </c>
      <c r="D10" s="436" t="s">
        <v>3</v>
      </c>
      <c r="E10" s="113"/>
      <c r="F10" s="398" t="s">
        <v>20</v>
      </c>
      <c r="I10" s="374" t="s">
        <v>166</v>
      </c>
      <c r="J10" s="375" t="s">
        <v>297</v>
      </c>
      <c r="K10" s="113"/>
      <c r="L10" s="59" t="s">
        <v>205</v>
      </c>
      <c r="M10" s="60" t="str">
        <f>F10</f>
        <v>Tata Motors</v>
      </c>
      <c r="N10" s="60" t="str">
        <f>F11</f>
        <v>Toyota</v>
      </c>
      <c r="O10" s="60" t="str">
        <f>F12</f>
        <v>BP</v>
      </c>
      <c r="P10" s="60" t="str">
        <f>F13</f>
        <v>IBM</v>
      </c>
      <c r="Q10" s="61" t="str">
        <f>F14</f>
        <v>Adobe</v>
      </c>
      <c r="R10" s="95"/>
      <c r="S10" s="382"/>
    </row>
    <row r="11" spans="2:19" ht="15.75" thickBot="1">
      <c r="B11" s="383"/>
      <c r="C11" s="372" t="s">
        <v>200</v>
      </c>
      <c r="D11" s="437" t="s">
        <v>221</v>
      </c>
      <c r="E11" s="113"/>
      <c r="F11" s="398" t="s">
        <v>25</v>
      </c>
      <c r="I11" s="385" t="s">
        <v>234</v>
      </c>
      <c r="J11" s="386"/>
      <c r="K11" s="113"/>
      <c r="L11" s="65" t="s">
        <v>213</v>
      </c>
      <c r="M11" s="66">
        <f ca="1">AVERAGE(OFFSET(INDEX('Asset Returns'!$E:$E,2),0,MATCH(M$10,'Asset Returns'!$E$1:$ZH$1,0)-1,$D$14))</f>
        <v>5.2453599331737299E-3</v>
      </c>
      <c r="N11" s="66">
        <f ca="1">AVERAGE(OFFSET(INDEX('Asset Returns'!$E:$E,2),0,MATCH(N$10,'Asset Returns'!$E$1:$ZH$1,0)-1,$D$14))</f>
        <v>6.559493289064554E-3</v>
      </c>
      <c r="O11" s="66">
        <f ca="1">AVERAGE(OFFSET(INDEX('Asset Returns'!$E:$E,2),0,MATCH(O$10,'Asset Returns'!$E$1:$ZH$1,0)-1,$D$14))</f>
        <v>3.6592009508886162E-3</v>
      </c>
      <c r="P11" s="66">
        <f ca="1">AVERAGE(OFFSET(INDEX('Asset Returns'!$E:$E,2),0,MATCH(P$10,'Asset Returns'!$E$1:$ZH$1,0)-1,$D$14))</f>
        <v>2.3933585316160727E-3</v>
      </c>
      <c r="Q11" s="47">
        <f ca="1">AVERAGE(OFFSET(INDEX('Asset Returns'!$E:$E,2),0,MATCH(Q$10,'Asset Returns'!$E$1:$ZH$1,0)-1,$D$14))</f>
        <v>1.9097610095496594E-2</v>
      </c>
      <c r="R11" s="111"/>
      <c r="S11" s="382"/>
    </row>
    <row r="12" spans="2:19" ht="15.75" thickBot="1">
      <c r="B12" s="383"/>
      <c r="C12" s="372" t="s">
        <v>201</v>
      </c>
      <c r="D12" s="438">
        <v>40179</v>
      </c>
      <c r="E12" s="113"/>
      <c r="F12" s="398" t="s">
        <v>24</v>
      </c>
      <c r="H12" s="387"/>
      <c r="K12" s="113"/>
      <c r="L12" s="39" t="s">
        <v>17</v>
      </c>
      <c r="M12" s="40">
        <f ca="1">MEDIAN(OFFSET(INDEX('Asset Returns'!$E:$E,2),0,MATCH(M$10,'Asset Returns'!$E$1:$ZH$1,0)-1,$D$14))</f>
        <v>-1.8520583398640156E-4</v>
      </c>
      <c r="N12" s="40">
        <f ca="1">MEDIAN(OFFSET(INDEX('Asset Returns'!$E:$E,2),0,MATCH(N$10,'Asset Returns'!$E$1:$ZH$1,0)-1,$D$14))</f>
        <v>1.1899207747774199E-3</v>
      </c>
      <c r="O12" s="40">
        <f ca="1">MEDIAN(OFFSET(INDEX('Asset Returns'!$E:$E,2),0,MATCH(O$10,'Asset Returns'!$E$1:$ZH$1,0)-1,$D$14))</f>
        <v>-6.1390593169008412E-4</v>
      </c>
      <c r="P12" s="40">
        <f ca="1">MEDIAN(OFFSET(INDEX('Asset Returns'!$E:$E,2),0,MATCH(P$10,'Asset Returns'!$E$1:$ZH$1,0)-1,$D$14))</f>
        <v>2.5580218061804771E-3</v>
      </c>
      <c r="Q12" s="41">
        <f ca="1">MEDIAN(OFFSET(INDEX('Asset Returns'!$E:$E,2),0,MATCH(Q$10,'Asset Returns'!$E$1:$ZH$1,0)-1,$D$14))</f>
        <v>2.7378600449087909E-2</v>
      </c>
      <c r="R12" s="112"/>
      <c r="S12" s="382"/>
    </row>
    <row r="13" spans="2:19" ht="15.75" thickBot="1">
      <c r="B13" s="383"/>
      <c r="C13" s="372" t="s">
        <v>202</v>
      </c>
      <c r="D13" s="438">
        <v>43465</v>
      </c>
      <c r="E13" s="113"/>
      <c r="F13" s="398" t="s">
        <v>18</v>
      </c>
      <c r="H13" s="387"/>
      <c r="K13" s="113"/>
      <c r="L13" s="36" t="s">
        <v>8</v>
      </c>
      <c r="M13" s="37">
        <f ca="1">MIN(OFFSET(INDEX('Asset Returns'!$E:$E,2),0,MATCH(M$10,'Asset Returns'!$E$1:$ZH$1,0)-1,$D$14))</f>
        <v>-0.30935710668563843</v>
      </c>
      <c r="N13" s="37">
        <f ca="1">MIN(OFFSET(INDEX('Asset Returns'!$E:$E,2),0,MATCH(N$10,'Asset Returns'!$E$1:$ZH$1,0)-1,$D$14))</f>
        <v>-0.12538155913352966</v>
      </c>
      <c r="O13" s="37">
        <f ca="1">MIN(OFFSET(INDEX('Asset Returns'!$E:$E,2),0,MATCH(O$10,'Asset Returns'!$E$1:$ZH$1,0)-1,$D$14))</f>
        <v>-0.33645686507225037</v>
      </c>
      <c r="P13" s="37">
        <f ca="1">MIN(OFFSET(INDEX('Asset Returns'!$E:$E,2),0,MATCH(P$10,'Asset Returns'!$E$1:$ZH$1,0)-1,$D$14))</f>
        <v>-0.23662586749781511</v>
      </c>
      <c r="Q13" s="38">
        <f ca="1">MIN(OFFSET(INDEX('Asset Returns'!$E:$E,2),0,MATCH(Q$10,'Asset Returns'!$E$1:$ZH$1,0)-1,$D$14))</f>
        <v>-0.17622219026088715</v>
      </c>
      <c r="R13" s="111"/>
      <c r="S13" s="382"/>
    </row>
    <row r="14" spans="2:19" ht="15.75" thickBot="1">
      <c r="B14" s="383"/>
      <c r="C14" s="373" t="s">
        <v>203</v>
      </c>
      <c r="D14" s="435">
        <v>108</v>
      </c>
      <c r="E14" s="113"/>
      <c r="F14" s="400" t="s">
        <v>27</v>
      </c>
      <c r="H14" s="387"/>
      <c r="K14" s="113"/>
      <c r="L14" s="39" t="s">
        <v>9</v>
      </c>
      <c r="M14" s="40">
        <f ca="1">MAX(OFFSET(INDEX('Asset Returns'!$E:$E,2),0,MATCH(M$10,'Asset Returns'!$E$1:$ZH$1,0)-1,$D$14))</f>
        <v>0.46498546004295349</v>
      </c>
      <c r="N14" s="40">
        <f ca="1">MAX(OFFSET(INDEX('Asset Returns'!$E:$E,2),0,MATCH(N$10,'Asset Returns'!$E$1:$ZH$1,0)-1,$D$14))</f>
        <v>0.16765767335891724</v>
      </c>
      <c r="O14" s="40">
        <f ca="1">MAX(OFFSET(INDEX('Asset Returns'!$E:$E,2),0,MATCH(O$10,'Asset Returns'!$E$1:$ZH$1,0)-1,$D$14))</f>
        <v>0.33241823315620422</v>
      </c>
      <c r="P14" s="40">
        <f ca="1">MAX(OFFSET(INDEX('Asset Returns'!$E:$E,2),0,MATCH(P$10,'Asset Returns'!$E$1:$ZH$1,0)-1,$D$14))</f>
        <v>0.15564216673374176</v>
      </c>
      <c r="Q14" s="41">
        <f ca="1">MAX(OFFSET(INDEX('Asset Returns'!$E:$E,2),0,MATCH(Q$10,'Asset Returns'!$E$1:$ZH$1,0)-1,$D$14))</f>
        <v>0.21679767966270447</v>
      </c>
      <c r="R14" s="112"/>
      <c r="S14" s="382"/>
    </row>
    <row r="15" spans="2:19" ht="15.75" thickBot="1">
      <c r="B15" s="383"/>
      <c r="C15" s="388"/>
      <c r="D15" s="388"/>
      <c r="E15" s="113"/>
      <c r="F15" s="376" t="s">
        <v>220</v>
      </c>
      <c r="H15" s="387"/>
      <c r="I15" s="386" t="s">
        <v>161</v>
      </c>
      <c r="J15" s="389"/>
      <c r="K15" s="113"/>
      <c r="L15" s="36" t="s">
        <v>214</v>
      </c>
      <c r="M15" s="37">
        <f ca="1">_xlfn.STDEV.S(OFFSET(INDEX('Asset Returns'!$E:$E,2),0,MATCH(M$10,'Asset Returns'!$E$1:$ZH$1,0)-1,$D$14))</f>
        <v>0.12495645023561427</v>
      </c>
      <c r="N15" s="37">
        <f ca="1">_xlfn.STDEV.S(OFFSET(INDEX('Asset Returns'!$E:$E,2),0,MATCH(N$10,'Asset Returns'!$E$1:$ZH$1,0)-1,$D$14))</f>
        <v>5.2871402660638216E-2</v>
      </c>
      <c r="O15" s="37">
        <f ca="1">_xlfn.STDEV.S(OFFSET(INDEX('Asset Returns'!$E:$E,2),0,MATCH(O$10,'Asset Returns'!$E$1:$ZH$1,0)-1,$D$14))</f>
        <v>8.1939890553668793E-2</v>
      </c>
      <c r="P15" s="37">
        <f ca="1">_xlfn.STDEV.S(OFFSET(INDEX('Asset Returns'!$E:$E,2),0,MATCH(P$10,'Asset Returns'!$E$1:$ZH$1,0)-1,$D$14))</f>
        <v>5.3097849593154244E-2</v>
      </c>
      <c r="Q15" s="38">
        <f ca="1">_xlfn.STDEV.S(OFFSET(INDEX('Asset Returns'!$E:$E,2),0,MATCH(Q$10,'Asset Returns'!$E$1:$ZH$1,0)-1,$D$14))</f>
        <v>6.6708123708172834E-2</v>
      </c>
      <c r="R15" s="111"/>
      <c r="S15" s="382"/>
    </row>
    <row r="16" spans="2:19" ht="15.75" thickBot="1">
      <c r="B16" s="383"/>
      <c r="C16" s="390"/>
      <c r="D16" s="390"/>
      <c r="E16" s="113"/>
      <c r="H16" s="390"/>
      <c r="I16" s="390"/>
      <c r="J16" s="96"/>
      <c r="K16" s="113"/>
      <c r="L16" s="39" t="s">
        <v>16</v>
      </c>
      <c r="M16" s="362">
        <f ca="1">AVERAGE(OFFSET(INDEX('AC4'!$E:$E,2),0,MATCH(M$10,'AC4'!$E$1:$AC$1,0)-1,$D$14))/M15</f>
        <v>3.975450763869514E-2</v>
      </c>
      <c r="N16" s="362">
        <f ca="1">AVERAGE(OFFSET(INDEX('AC4'!$E:$E,2),0,MATCH(N$10,'AC4'!$E$1:$AC$1,0)-1,$D$14))/N15</f>
        <v>0.11881121353270623</v>
      </c>
      <c r="O16" s="362">
        <f ca="1">AVERAGE(OFFSET(INDEX('AC4'!$E:$E,2),0,MATCH(O$10,'AC4'!$E$1:$AC$1,0)-1,$D$14))/O15</f>
        <v>4.1267118497016822E-2</v>
      </c>
      <c r="P16" s="362">
        <f ca="1">AVERAGE(OFFSET(INDEX('AC4'!$E:$E,2),0,MATCH(P$10,'AC4'!$E$1:$AC$1,0)-1,$D$14))/P15</f>
        <v>3.984305899482328E-2</v>
      </c>
      <c r="Q16" s="295">
        <f ca="1">AVERAGE(OFFSET(INDEX('AC4'!$E:$E,2),0,MATCH(Q$10,'AC4'!$E$1:$AC$1,0)-1,$D$14))/Q15</f>
        <v>0.28212204558547782</v>
      </c>
      <c r="R16" s="112"/>
      <c r="S16" s="382"/>
    </row>
    <row r="17" spans="2:19" ht="15.75" thickBot="1">
      <c r="B17" s="383"/>
      <c r="C17" s="390"/>
      <c r="D17" s="390"/>
      <c r="E17" s="113"/>
      <c r="F17" s="390"/>
      <c r="G17" s="390"/>
      <c r="H17" s="96"/>
      <c r="I17" s="113"/>
      <c r="J17" s="113"/>
      <c r="K17" s="113"/>
      <c r="L17" s="36" t="s">
        <v>215</v>
      </c>
      <c r="M17" s="37">
        <f ca="1">_xlfn.PERCENTILE.INC((OFFSET(INDEX('Asset Returns'!$E:$E,2),0,MATCH(M$10,'Asset Returns'!$E$1:$ZH$1,0)-1,$D$14)),0.05)</f>
        <v>-0.17688112514222801</v>
      </c>
      <c r="N17" s="37">
        <f ca="1">_xlfn.PERCENTILE.INC((OFFSET(INDEX('Asset Returns'!$E:$E,2),0,MATCH(N$10,'Asset Returns'!$E$1:$ZH$1,0)-1,$D$14)),0.05)</f>
        <v>-7.1563265845179552E-2</v>
      </c>
      <c r="O17" s="37">
        <f ca="1">_xlfn.PERCENTILE.INC((OFFSET(INDEX('Asset Returns'!$E:$E,2),0,MATCH(O$10,'Asset Returns'!$E$1:$ZH$1,0)-1,$D$14)),0.05)</f>
        <v>-9.28016722202301E-2</v>
      </c>
      <c r="P17" s="37">
        <f ca="1">_xlfn.PERCENTILE.INC((OFFSET(INDEX('Asset Returns'!$E:$E,2),0,MATCH(P$10,'Asset Returns'!$E$1:$ZH$1,0)-1,$D$14)),0.05)</f>
        <v>-7.9504285110869113E-2</v>
      </c>
      <c r="Q17" s="38">
        <f ca="1">_xlfn.PERCENTILE.INC((OFFSET(INDEX('Asset Returns'!$E:$E,2),0,MATCH(Q$10,'Asset Returns'!$E$1:$ZH$1,0)-1,$D$14)),0.05)</f>
        <v>-8.9478855154529496E-2</v>
      </c>
      <c r="R17" s="111"/>
      <c r="S17" s="382"/>
    </row>
    <row r="18" spans="2:19" ht="15.75" thickBot="1">
      <c r="B18" s="391"/>
      <c r="C18" s="392"/>
      <c r="D18" s="96"/>
      <c r="E18" s="96"/>
      <c r="F18" s="96"/>
      <c r="G18" s="96"/>
      <c r="H18" s="96"/>
      <c r="I18" s="96"/>
      <c r="J18" s="392"/>
      <c r="K18" s="96"/>
      <c r="L18" s="39" t="s">
        <v>216</v>
      </c>
      <c r="M18" s="40">
        <f ca="1">_xlfn.PERCENTILE.INC((OFFSET(INDEX('Asset Returns'!$E:$E,2),0,MATCH(M$10,'Asset Returns'!$E$1:$ZH$1,0)-1,$D$14)),0.1)</f>
        <v>-0.14631128609180449</v>
      </c>
      <c r="N18" s="40">
        <f ca="1">_xlfn.PERCENTILE.INC((OFFSET(INDEX('Asset Returns'!$E:$E,2),0,MATCH(N$10,'Asset Returns'!$E$1:$ZH$1,0)-1,$D$14)),0.1)</f>
        <v>-4.6126514300704004E-2</v>
      </c>
      <c r="O18" s="40">
        <f ca="1">_xlfn.PERCENTILE.INC((OFFSET(INDEX('Asset Returns'!$E:$E,2),0,MATCH(O$10,'Asset Returns'!$E$1:$ZH$1,0)-1,$D$14)),0.1)</f>
        <v>-7.4479956179857254E-2</v>
      </c>
      <c r="P18" s="40">
        <f ca="1">_xlfn.PERCENTILE.INC((OFFSET(INDEX('Asset Returns'!$E:$E,2),0,MATCH(P$10,'Asset Returns'!$E$1:$ZH$1,0)-1,$D$14)),0.1)</f>
        <v>-5.9913966918962766E-2</v>
      </c>
      <c r="Q18" s="41">
        <f ca="1">_xlfn.PERCENTILE.INC((OFFSET(INDEX('Asset Returns'!$E:$E,2),0,MATCH(Q$10,'Asset Returns'!$E$1:$ZH$1,0)-1,$D$14)),0.1)</f>
        <v>-5.7721576094627372E-2</v>
      </c>
      <c r="R18" s="112"/>
      <c r="S18" s="382"/>
    </row>
    <row r="19" spans="2:19" ht="15.75" thickBot="1">
      <c r="B19" s="391"/>
      <c r="C19" s="392"/>
      <c r="D19" s="96"/>
      <c r="E19" s="96"/>
      <c r="F19" s="96"/>
      <c r="G19" s="96"/>
      <c r="H19" s="96"/>
      <c r="I19" s="96"/>
      <c r="J19" s="392"/>
      <c r="K19" s="96"/>
      <c r="L19" s="36" t="s">
        <v>217</v>
      </c>
      <c r="M19" s="37">
        <f ca="1">_xlfn.PERCENTILE.INC((OFFSET(INDEX('Asset Returns'!$E:$E,2),0,MATCH(M$10,'Asset Returns'!$E$1:$ZH$1,0)-1,$D$14)),0.9)</f>
        <v>0.16848672926425934</v>
      </c>
      <c r="N19" s="37">
        <f ca="1">_xlfn.PERCENTILE.INC((OFFSET(INDEX('Asset Returns'!$E:$E,2),0,MATCH(N$10,'Asset Returns'!$E$1:$ZH$1,0)-1,$D$14)),0.9)</f>
        <v>7.6073815611235759E-2</v>
      </c>
      <c r="O19" s="37">
        <f ca="1">_xlfn.PERCENTILE.INC((OFFSET(INDEX('Asset Returns'!$E:$E,2),0,MATCH(O$10,'Asset Returns'!$E$1:$ZH$1,0)-1,$D$14)),0.9)</f>
        <v>9.7259776294231409E-2</v>
      </c>
      <c r="P19" s="37">
        <f ca="1">_xlfn.PERCENTILE.INC((OFFSET(INDEX('Asset Returns'!$E:$E,2),0,MATCH(P$10,'Asset Returns'!$E$1:$ZH$1,0)-1,$D$14)),0.9)</f>
        <v>6.2472531199455256E-2</v>
      </c>
      <c r="Q19" s="38">
        <f ca="1">_xlfn.PERCENTILE.INC((OFFSET(INDEX('Asset Returns'!$E:$E,2),0,MATCH(Q$10,'Asset Returns'!$E$1:$ZH$1,0)-1,$D$14)),0.9)</f>
        <v>0.10133360208566307</v>
      </c>
      <c r="R19" s="111"/>
      <c r="S19" s="382"/>
    </row>
    <row r="20" spans="2:19" ht="15.75" thickBot="1">
      <c r="B20" s="381"/>
      <c r="C20" s="96"/>
      <c r="D20" s="96"/>
      <c r="E20" s="96"/>
      <c r="F20" s="96"/>
      <c r="G20" s="96"/>
      <c r="H20" s="96"/>
      <c r="I20" s="96"/>
      <c r="J20" s="96"/>
      <c r="K20" s="96"/>
      <c r="L20" s="39" t="s">
        <v>218</v>
      </c>
      <c r="M20" s="40">
        <f ca="1">_xlfn.PERCENTILE.INC((OFFSET(INDEX('Asset Returns'!$E:$E,2),0,MATCH(M$10,'Asset Returns'!$E$1:$ZH$1,0)-1,$D$14)),0.95)</f>
        <v>0.20391402989625931</v>
      </c>
      <c r="N20" s="40">
        <f ca="1">_xlfn.PERCENTILE.INC((OFFSET(INDEX('Asset Returns'!$E:$E,2),0,MATCH(N$10,'Asset Returns'!$E$1:$ZH$1,0)-1,$D$14)),0.95)</f>
        <v>9.7538094595074454E-2</v>
      </c>
      <c r="O20" s="40">
        <f ca="1">_xlfn.PERCENTILE.INC((OFFSET(INDEX('Asset Returns'!$E:$E,2),0,MATCH(O$10,'Asset Returns'!$E$1:$ZH$1,0)-1,$D$14)),0.95)</f>
        <v>0.11569902821595696</v>
      </c>
      <c r="P20" s="40">
        <f ca="1">_xlfn.PERCENTILE.INC((OFFSET(INDEX('Asset Returns'!$E:$E,2),0,MATCH(P$10,'Asset Returns'!$E$1:$ZH$1,0)-1,$D$14)),0.95)</f>
        <v>6.7150529888786267E-2</v>
      </c>
      <c r="Q20" s="41">
        <f ca="1">_xlfn.PERCENTILE.INC((OFFSET(INDEX('Asset Returns'!$E:$E,2),0,MATCH(Q$10,'Asset Returns'!$E$1:$ZH$1,0)-1,$D$14)),0.95)</f>
        <v>0.12685676286212919</v>
      </c>
      <c r="R20" s="112"/>
      <c r="S20" s="382"/>
    </row>
    <row r="21" spans="2:19" ht="15.75" thickBot="1">
      <c r="B21" s="381"/>
      <c r="C21" s="96"/>
      <c r="D21" s="96"/>
      <c r="E21" s="96"/>
      <c r="F21" s="96"/>
      <c r="G21" s="96"/>
      <c r="H21" s="96"/>
      <c r="I21" s="96"/>
      <c r="J21" s="96"/>
      <c r="K21" s="96"/>
      <c r="L21" s="36" t="s">
        <v>219</v>
      </c>
      <c r="M21" s="37">
        <f ca="1">SKEW(OFFSET(INDEX('Asset Returns'!$E:$E,2),0,MATCH(M$10,'Asset Returns'!$E$1:$ZH$1,0)-1,$D$14))</f>
        <v>0.56776854302492663</v>
      </c>
      <c r="N21" s="37">
        <f ca="1">SKEW(OFFSET(INDEX('Asset Returns'!$E:$E,2),0,MATCH(N$10,'Asset Returns'!$E$1:$ZH$1,0)-1,$D$14))</f>
        <v>0.20292147229451329</v>
      </c>
      <c r="O21" s="37">
        <f ca="1">SKEW(OFFSET(INDEX('Asset Returns'!$E:$E,2),0,MATCH(O$10,'Asset Returns'!$E$1:$ZH$1,0)-1,$D$14))</f>
        <v>0.13741923013671625</v>
      </c>
      <c r="P21" s="37">
        <f ca="1">SKEW(OFFSET(INDEX('Asset Returns'!$E:$E,2),0,MATCH(P$10,'Asset Returns'!$E$1:$ZH$1,0)-1,$D$14))</f>
        <v>-0.76486401099056101</v>
      </c>
      <c r="Q21" s="38">
        <f ca="1">SKEW(OFFSET(INDEX('Asset Returns'!$E:$E,2),0,MATCH(Q$10,'Asset Returns'!$E$1:$ZH$1,0)-1,$D$14))</f>
        <v>2.4744557736471967E-2</v>
      </c>
      <c r="R21" s="111"/>
      <c r="S21" s="382"/>
    </row>
    <row r="22" spans="2:19" ht="15.75" thickBot="1">
      <c r="B22" s="381"/>
      <c r="C22" s="96"/>
      <c r="D22" s="96"/>
      <c r="E22" s="96"/>
      <c r="F22" s="96"/>
      <c r="G22" s="96"/>
      <c r="H22" s="96"/>
      <c r="I22" s="96"/>
      <c r="J22" s="96"/>
      <c r="K22" s="96"/>
      <c r="L22" s="42" t="s">
        <v>10</v>
      </c>
      <c r="M22" s="43">
        <f ca="1">KURT(OFFSET(INDEX('Asset Returns'!$E:$E,2),0,MATCH(M$10,'Asset Returns'!$E$1:$ZH$1,0)-1,$D$14))</f>
        <v>1.2766801711519871</v>
      </c>
      <c r="N22" s="43">
        <f ca="1">KURT(OFFSET(INDEX('Asset Returns'!$E:$E,2),0,MATCH(N$10,'Asset Returns'!$E$1:$ZH$1,0)-1,$D$14))</f>
        <v>0.73981782379404937</v>
      </c>
      <c r="O22" s="43">
        <f ca="1">KURT(OFFSET(INDEX('Asset Returns'!$E:$E,2),0,MATCH(O$10,'Asset Returns'!$E$1:$ZH$1,0)-1,$D$14))</f>
        <v>4.2267941999279728</v>
      </c>
      <c r="P22" s="43">
        <f ca="1">KURT(OFFSET(INDEX('Asset Returns'!$E:$E,2),0,MATCH(P$10,'Asset Returns'!$E$1:$ZH$1,0)-1,$D$14))</f>
        <v>3.2339813135059825</v>
      </c>
      <c r="Q22" s="44">
        <f ca="1">KURT(OFFSET(INDEX('Asset Returns'!$E:$E,2),0,MATCH(Q$10,'Asset Returns'!$E$1:$ZH$1,0)-1,$D$14))</f>
        <v>0.42775305654732199</v>
      </c>
      <c r="R22" s="112"/>
      <c r="S22" s="382"/>
    </row>
    <row r="23" spans="2:19" ht="15.75" thickBot="1">
      <c r="B23" s="381"/>
      <c r="C23" s="96"/>
      <c r="D23" s="96"/>
      <c r="E23" s="96"/>
      <c r="F23" s="96"/>
      <c r="G23" s="96"/>
      <c r="H23" s="96"/>
      <c r="I23" s="96"/>
      <c r="J23" s="96"/>
      <c r="K23" s="96"/>
      <c r="R23" s="113"/>
      <c r="S23" s="382"/>
    </row>
    <row r="24" spans="2:19" ht="15.75" thickBot="1">
      <c r="B24" s="381"/>
      <c r="C24" s="96"/>
      <c r="D24" s="96"/>
      <c r="E24" s="96"/>
      <c r="F24" s="96"/>
      <c r="G24" s="96"/>
      <c r="H24" s="96"/>
      <c r="I24" s="96"/>
      <c r="J24" s="96"/>
      <c r="K24" s="96"/>
      <c r="L24" s="449" t="s">
        <v>209</v>
      </c>
      <c r="M24" s="450"/>
      <c r="N24" s="450"/>
      <c r="O24" s="450"/>
      <c r="P24" s="450"/>
      <c r="Q24" s="451"/>
      <c r="R24" s="170"/>
      <c r="S24" s="382"/>
    </row>
    <row r="25" spans="2:19" ht="15.75" thickBot="1">
      <c r="B25" s="381"/>
      <c r="C25" s="96"/>
      <c r="D25" s="96"/>
      <c r="E25" s="96"/>
      <c r="F25" s="96"/>
      <c r="G25" s="96"/>
      <c r="H25" s="96"/>
      <c r="I25" s="96"/>
      <c r="J25" s="96"/>
      <c r="K25" s="96"/>
      <c r="L25" s="59" t="s">
        <v>130</v>
      </c>
      <c r="M25" s="60" t="str">
        <f>F10</f>
        <v>Tata Motors</v>
      </c>
      <c r="N25" s="60" t="str">
        <f>F11</f>
        <v>Toyota</v>
      </c>
      <c r="O25" s="60" t="str">
        <f>F12</f>
        <v>BP</v>
      </c>
      <c r="P25" s="60" t="str">
        <f>F13</f>
        <v>IBM</v>
      </c>
      <c r="Q25" s="61" t="str">
        <f>F14</f>
        <v>Adobe</v>
      </c>
      <c r="R25" s="95"/>
      <c r="S25" s="382"/>
    </row>
    <row r="26" spans="2:19" ht="15.75" thickBot="1">
      <c r="B26" s="381"/>
      <c r="C26" s="96"/>
      <c r="D26" s="96"/>
      <c r="E26" s="96"/>
      <c r="F26" s="96"/>
      <c r="G26" s="96"/>
      <c r="H26" s="96"/>
      <c r="I26" s="96"/>
      <c r="J26" s="96"/>
      <c r="K26" s="96"/>
      <c r="L26" s="45" t="str">
        <f>F10</f>
        <v>Tata Motors</v>
      </c>
      <c r="M26" s="46">
        <v>1</v>
      </c>
      <c r="N26" s="88"/>
      <c r="O26" s="88"/>
      <c r="P26" s="88"/>
      <c r="Q26" s="89"/>
      <c r="R26" s="111"/>
      <c r="S26" s="382"/>
    </row>
    <row r="27" spans="2:19" ht="15.75" thickBot="1">
      <c r="B27" s="381"/>
      <c r="C27" s="96"/>
      <c r="D27" s="96"/>
      <c r="E27" s="96"/>
      <c r="F27" s="96"/>
      <c r="G27" s="96"/>
      <c r="H27" s="96"/>
      <c r="I27" s="96"/>
      <c r="J27" s="96"/>
      <c r="K27" s="96"/>
      <c r="L27" s="39" t="str">
        <f t="shared" ref="L27:L30" si="0">F11</f>
        <v>Toyota</v>
      </c>
      <c r="M27" s="40">
        <f ca="1">CORREL(OFFSET(INDEX('Asset Returns'!$E:$E,2),0,MATCH(M$25,'Asset Returns'!$E$1:$ZH$1,0)-1,$D$14),OFFSET(INDEX('Asset Returns'!$E:$E,2),0,MATCH($L27,'Asset Returns'!$E$1:$ZH$1,0)-1,$D$14))</f>
        <v>0.35696156059373307</v>
      </c>
      <c r="N27" s="48">
        <v>1</v>
      </c>
      <c r="O27" s="40"/>
      <c r="P27" s="40"/>
      <c r="Q27" s="41"/>
      <c r="R27" s="112"/>
      <c r="S27" s="382"/>
    </row>
    <row r="28" spans="2:19" ht="15.75" thickBot="1">
      <c r="B28" s="381"/>
      <c r="C28" s="96"/>
      <c r="D28" s="96"/>
      <c r="E28" s="96"/>
      <c r="F28" s="96"/>
      <c r="G28" s="96"/>
      <c r="H28" s="96"/>
      <c r="I28" s="96"/>
      <c r="J28" s="96"/>
      <c r="K28" s="96"/>
      <c r="L28" s="36" t="str">
        <f t="shared" si="0"/>
        <v>BP</v>
      </c>
      <c r="M28" s="37">
        <f ca="1">CORREL(OFFSET(INDEX('Asset Returns'!$E:$E,2),0,MATCH(M$25,'Asset Returns'!$E$1:$ZH$1,0)-1,$D$14),OFFSET(INDEX('Asset Returns'!$E:$E,2),0,MATCH($L28,'Asset Returns'!$E$1:$ZH$1,0)-1,$D$14))</f>
        <v>0.35182375018293904</v>
      </c>
      <c r="N28" s="37">
        <f ca="1">CORREL(OFFSET(INDEX('Asset Returns'!$E:$E,2),0,MATCH(N$25,'Asset Returns'!$E$1:$ZH$1,0)-1,$D$14),OFFSET(INDEX('Asset Returns'!$E:$E,2),0,MATCH($L28,'Asset Returns'!$E$1:$ZH$1,0)-1,$D$14))</f>
        <v>0.29880342648300118</v>
      </c>
      <c r="O28" s="49">
        <v>1</v>
      </c>
      <c r="P28" s="90"/>
      <c r="Q28" s="91"/>
      <c r="R28" s="111"/>
      <c r="S28" s="382"/>
    </row>
    <row r="29" spans="2:19" ht="15.75" thickBot="1">
      <c r="B29" s="381"/>
      <c r="C29" s="96"/>
      <c r="D29" s="96"/>
      <c r="E29" s="96"/>
      <c r="F29" s="96"/>
      <c r="G29" s="96"/>
      <c r="H29" s="96"/>
      <c r="I29" s="96"/>
      <c r="J29" s="96"/>
      <c r="K29" s="96"/>
      <c r="L29" s="39" t="str">
        <f t="shared" si="0"/>
        <v>IBM</v>
      </c>
      <c r="M29" s="40">
        <f ca="1">CORREL(OFFSET(INDEX('Asset Returns'!$E:$E,2),0,MATCH(M$25,'Asset Returns'!$E$1:$ZH$1,0)-1,$D$14),OFFSET(INDEX('Asset Returns'!$E:$E,2),0,MATCH($L29,'Asset Returns'!$E$1:$ZH$1,0)-1,$D$14))</f>
        <v>0.29844385277143171</v>
      </c>
      <c r="N29" s="40">
        <f ca="1">CORREL(OFFSET(INDEX('Asset Returns'!$E:$E,2),0,MATCH(N$25,'Asset Returns'!$E$1:$ZH$1,0)-1,$D$14),OFFSET(INDEX('Asset Returns'!$E:$E,2),0,MATCH($L29,'Asset Returns'!$E$1:$ZH$1,0)-1,$D$14))</f>
        <v>0.22654471291116568</v>
      </c>
      <c r="O29" s="40">
        <f ca="1">CORREL(OFFSET(INDEX('Asset Returns'!$E:$E,2),0,MATCH(O$25,'Asset Returns'!$E$1:$ZH$1,0)-1,$D$14),OFFSET(INDEX('Asset Returns'!$E:$E,2),0,MATCH($L29,'Asset Returns'!$E$1:$ZH$1,0)-1,$D$14))</f>
        <v>0.22980883653670964</v>
      </c>
      <c r="P29" s="48">
        <v>1</v>
      </c>
      <c r="Q29" s="41"/>
      <c r="R29" s="112"/>
      <c r="S29" s="382"/>
    </row>
    <row r="30" spans="2:19" ht="15.75" thickBot="1">
      <c r="B30" s="381"/>
      <c r="C30" s="96"/>
      <c r="D30" s="96"/>
      <c r="E30" s="96"/>
      <c r="F30" s="96"/>
      <c r="G30" s="96"/>
      <c r="H30" s="96"/>
      <c r="I30" s="96"/>
      <c r="J30" s="96"/>
      <c r="K30" s="96"/>
      <c r="L30" s="50" t="str">
        <f t="shared" si="0"/>
        <v>Adobe</v>
      </c>
      <c r="M30" s="51">
        <f ca="1">CORREL(OFFSET(INDEX('Asset Returns'!$E:$E,2),0,MATCH(M$25,'Asset Returns'!$E$1:$ZH$1,0)-1,$D$14),OFFSET(INDEX('Asset Returns'!$E:$E,2),0,MATCH($L30,'Asset Returns'!$E$1:$ZH$1,0)-1,$D$14))</f>
        <v>0.34890362375957878</v>
      </c>
      <c r="N30" s="51">
        <f ca="1">CORREL(OFFSET(INDEX('Asset Returns'!$E:$E,2),0,MATCH(N$25,'Asset Returns'!$E$1:$ZH$1,0)-1,$D$14),OFFSET(INDEX('Asset Returns'!$E:$E,2),0,MATCH($L30,'Asset Returns'!$E$1:$ZH$1,0)-1,$D$14))</f>
        <v>0.34480997031669219</v>
      </c>
      <c r="O30" s="51">
        <f ca="1">CORREL(OFFSET(INDEX('Asset Returns'!$E:$E,2),0,MATCH(O$25,'Asset Returns'!$E$1:$ZH$1,0)-1,$D$14),OFFSET(INDEX('Asset Returns'!$E:$E,2),0,MATCH($L30,'Asset Returns'!$E$1:$ZH$1,0)-1,$D$14))</f>
        <v>0.46981453698032583</v>
      </c>
      <c r="P30" s="51">
        <f ca="1">CORREL(OFFSET(INDEX('Asset Returns'!$E:$E,2),0,MATCH(P$25,'Asset Returns'!$E$1:$ZH$1,0)-1,$D$14),OFFSET(INDEX('Asset Returns'!$E:$E,2),0,MATCH($L30,'Asset Returns'!$E$1:$ZH$1,0)-1,$D$14))</f>
        <v>0.33008948658753612</v>
      </c>
      <c r="Q30" s="52">
        <v>1</v>
      </c>
      <c r="R30" s="114"/>
      <c r="S30" s="382"/>
    </row>
    <row r="31" spans="2:19" ht="15.75" thickBot="1">
      <c r="B31" s="381"/>
      <c r="C31" s="96"/>
      <c r="D31" s="96"/>
      <c r="E31" s="96"/>
      <c r="F31" s="96"/>
      <c r="G31" s="96"/>
      <c r="H31" s="96"/>
      <c r="I31" s="96"/>
      <c r="J31" s="96"/>
      <c r="K31" s="96"/>
      <c r="L31" s="96"/>
      <c r="M31" s="96"/>
      <c r="N31" s="96"/>
      <c r="O31" s="96"/>
      <c r="P31" s="96"/>
      <c r="Q31" s="96"/>
      <c r="R31" s="96"/>
      <c r="S31" s="382"/>
    </row>
    <row r="32" spans="2:19" ht="15.75" thickBot="1">
      <c r="B32" s="381"/>
      <c r="C32" s="96"/>
      <c r="D32" s="96"/>
      <c r="E32" s="96"/>
      <c r="F32" s="96"/>
      <c r="G32" s="96"/>
      <c r="H32" s="96"/>
      <c r="I32" s="96"/>
      <c r="J32" s="96"/>
      <c r="K32" s="96"/>
      <c r="L32" s="449" t="s">
        <v>210</v>
      </c>
      <c r="M32" s="450"/>
      <c r="N32" s="450"/>
      <c r="O32" s="450"/>
      <c r="P32" s="450"/>
      <c r="Q32" s="450"/>
      <c r="R32" s="451"/>
      <c r="S32" s="382"/>
    </row>
    <row r="33" spans="2:19" ht="15.75" thickBot="1">
      <c r="B33" s="381"/>
      <c r="C33" s="96"/>
      <c r="D33" s="96"/>
      <c r="E33" s="96"/>
      <c r="F33" s="96"/>
      <c r="G33" s="96"/>
      <c r="H33" s="96"/>
      <c r="I33" s="96"/>
      <c r="J33" s="96"/>
      <c r="K33" s="96"/>
      <c r="L33" s="59" t="s">
        <v>211</v>
      </c>
      <c r="M33" s="62" t="s">
        <v>11</v>
      </c>
      <c r="N33" s="60" t="s">
        <v>158</v>
      </c>
      <c r="O33" s="60" t="s">
        <v>12</v>
      </c>
      <c r="P33" s="60" t="s">
        <v>13</v>
      </c>
      <c r="Q33" s="60" t="s">
        <v>14</v>
      </c>
      <c r="R33" s="304" t="s">
        <v>22</v>
      </c>
      <c r="S33" s="382"/>
    </row>
    <row r="34" spans="2:19">
      <c r="B34" s="381"/>
      <c r="C34" s="96"/>
      <c r="D34" s="96"/>
      <c r="E34" s="96"/>
      <c r="F34" s="96"/>
      <c r="G34" s="96"/>
      <c r="H34" s="96"/>
      <c r="I34" s="96"/>
      <c r="J34" s="96"/>
      <c r="K34" s="96"/>
      <c r="L34" s="68" t="str">
        <f>F10</f>
        <v>Tata Motors</v>
      </c>
      <c r="M34" s="69">
        <f ca="1">INDEX(LINEST(OFFSET(INDEX('AC4'!$E:$E,2),0,MATCH($L34,'AC4'!$E$1:$AC$1,0)-1,$D$14),'AC2'!$F$2:$J$109,1,),19-COLUMN())</f>
        <v>-4.2977995738158479E-3</v>
      </c>
      <c r="N34" s="69">
        <f ca="1">INDEX(LINEST(OFFSET(INDEX('AC4'!$E:$E,2),0,MATCH($L34,'AC4'!$E$1:$AC$1,0)-1,$D$14),'AC2'!$F$2:$J$109,1,),19-COLUMN())</f>
        <v>1.889324010708348</v>
      </c>
      <c r="O34" s="69">
        <f ca="1">INDEX(LINEST(OFFSET(INDEX('AC4'!$E:$E,2),0,MATCH($L34,'AC4'!$E$1:$AC$1,0)-1,$D$14),'AC2'!$F$2:$J$109,1,),19-COLUMN())</f>
        <v>0.8084209471078474</v>
      </c>
      <c r="P34" s="69">
        <f ca="1">INDEX(LINEST(OFFSET(INDEX('AC4'!$E:$E,2),0,MATCH($L34,'AC4'!$E$1:$AC$1,0)-1,$D$14),'AC2'!$F$2:$J$109,1,),19-COLUMN())</f>
        <v>-0.8027610679078554</v>
      </c>
      <c r="Q34" s="69">
        <f ca="1">INDEX(LINEST(OFFSET(INDEX('AC4'!$E:$E,2),0,MATCH($L34,'AC4'!$E$1:$AC$1,0)-1,$D$14),'AC2'!$F$2:$J$109,1,),19-COLUMN())</f>
        <v>-0.62522011790085597</v>
      </c>
      <c r="R34" s="305">
        <f ca="1">INDEX(LINEST(OFFSET(INDEX('AC4'!$E:$E,2),0,MATCH($L34,'AC4'!$E$1:$AC$1,0)-1,$D$14),'AC2'!$F$2:$J$109,1,),19-COLUMN())</f>
        <v>0.64097224418739052</v>
      </c>
      <c r="S34" s="382"/>
    </row>
    <row r="35" spans="2:19" ht="15.75" thickBot="1">
      <c r="B35" s="381"/>
      <c r="C35" s="96"/>
      <c r="D35" s="96"/>
      <c r="E35" s="96"/>
      <c r="F35" s="96"/>
      <c r="G35" s="96"/>
      <c r="H35" s="96"/>
      <c r="I35" s="96"/>
      <c r="J35" s="96"/>
      <c r="K35" s="96"/>
      <c r="L35" s="73" t="s">
        <v>222</v>
      </c>
      <c r="M35" s="74">
        <f ca="1">_xlfn.T.DIST.2T(ABS(M34/INDEX(LINEST(OFFSET(INDEX('AC4'!$E:$E,2),0,MATCH($L34,'AC4'!$E$1:$AC$1,0)-1,$D$14),'AC2'!$F$2:$J$109,1,1),2,19-COLUMN())),INDEX(LINEST(OFFSET(INDEX('AC4'!$E:$E,2),0,MATCH($L34,'AC4'!$E$1:$AC$1,0)-1,$D$14),'AC2'!$F$2:$J$109,1,1),4,2))</f>
        <v>0.67492810758814969</v>
      </c>
      <c r="N35" s="74">
        <f ca="1">_xlfn.T.DIST.2T(ABS(N34/INDEX(LINEST(OFFSET(INDEX('AC4'!$E:$E,2),0,MATCH($L34,'AC4'!$E$1:$AC$1,0)-1,$D$14),'AC2'!$F$2:$J$109,1,1),2,19-COLUMN())),INDEX(LINEST(OFFSET(INDEX('AC4'!$E:$E,2),0,MATCH($L34,'AC4'!$E$1:$AC$1,0)-1,$D$14),'AC2'!$F$2:$J$109,1,1),4,2))</f>
        <v>6.0492521797389849E-11</v>
      </c>
      <c r="O35" s="74">
        <f ca="1">_xlfn.T.DIST.2T(ABS(O34/INDEX(LINEST(OFFSET(INDEX('AC4'!$E:$E,2),0,MATCH($L34,'AC4'!$E$1:$AC$1,0)-1,$D$14),'AC2'!$F$2:$J$109,1,1),2,19-COLUMN())),INDEX(LINEST(OFFSET(INDEX('AC4'!$E:$E,2),0,MATCH($L34,'AC4'!$E$1:$AC$1,0)-1,$D$14),'AC2'!$F$2:$J$109,1,1),4,2))</f>
        <v>0.28369031943273959</v>
      </c>
      <c r="P35" s="74">
        <f ca="1">_xlfn.T.DIST.2T(ABS(P34/INDEX(LINEST(OFFSET(INDEX('AC4'!$E:$E,2),0,MATCH($L34,'AC4'!$E$1:$AC$1,0)-1,$D$14),'AC2'!$F$2:$J$109,1,1),2,19-COLUMN())),INDEX(LINEST(OFFSET(INDEX('AC4'!$E:$E,2),0,MATCH($L34,'AC4'!$E$1:$AC$1,0)-1,$D$14),'AC2'!$F$2:$J$109,1,1),4,2))</f>
        <v>0.21769126551148582</v>
      </c>
      <c r="Q35" s="74">
        <f ca="1">_xlfn.T.DIST.2T(ABS(Q34/INDEX(LINEST(OFFSET(INDEX('AC4'!$E:$E,2),0,MATCH($L34,'AC4'!$E$1:$AC$1,0)-1,$D$14),'AC2'!$F$2:$J$109,1,1),2,19-COLUMN())),INDEX(LINEST(OFFSET(INDEX('AC4'!$E:$E,2),0,MATCH($L34,'AC4'!$E$1:$AC$1,0)-1,$D$14),'AC2'!$F$2:$J$109,1,1),4,2))</f>
        <v>0.17307067637505072</v>
      </c>
      <c r="R35" s="306">
        <f ca="1">_xlfn.T.DIST.2T(ABS(R34/INDEX(LINEST(OFFSET(INDEX('AC4'!$E:$E,2),0,MATCH($L34,'AC4'!$E$1:$AC$1,0)-1,$D$14),'AC2'!$F$2:$J$109,1,1),2,19-COLUMN())),INDEX(LINEST(OFFSET(INDEX('AC4'!$E:$E,2),0,MATCH($L34,'AC4'!$E$1:$AC$1,0)-1,$D$14),'AC2'!$F$2:$J$109,1,1),4,2))</f>
        <v>0.26138539882959483</v>
      </c>
      <c r="S35" s="382"/>
    </row>
    <row r="36" spans="2:19">
      <c r="B36" s="381"/>
      <c r="C36" s="96"/>
      <c r="D36" s="96"/>
      <c r="E36" s="96"/>
      <c r="F36" s="96"/>
      <c r="G36" s="96"/>
      <c r="H36" s="96"/>
      <c r="I36" s="96"/>
      <c r="J36" s="96"/>
      <c r="K36" s="96"/>
      <c r="L36" s="78" t="str">
        <f>F11</f>
        <v>Toyota</v>
      </c>
      <c r="M36" s="79">
        <f ca="1">INDEX(LINEST(OFFSET(INDEX('AC4'!$E:$E,2),0,MATCH($L36,'AC4'!$E$1:$AC$1,0)-1,$D$14),'AC2'!$F$2:$J$109,1,),19-COLUMN())</f>
        <v>3.3771494349941122E-4</v>
      </c>
      <c r="N36" s="79">
        <f ca="1">INDEX(LINEST(OFFSET(INDEX('AC4'!$E:$E,2),0,MATCH($L36,'AC4'!$E$1:$AC$1,0)-1,$D$14),'AC2'!$F$2:$J$109,1,),19-COLUMN())</f>
        <v>0.69218870535747146</v>
      </c>
      <c r="O36" s="79">
        <f ca="1">INDEX(LINEST(OFFSET(INDEX('AC4'!$E:$E,2),0,MATCH($L36,'AC4'!$E$1:$AC$1,0)-1,$D$14),'AC2'!$F$2:$J$109,1,),19-COLUMN())</f>
        <v>0.17446418922460902</v>
      </c>
      <c r="P36" s="79">
        <f ca="1">INDEX(LINEST(OFFSET(INDEX('AC4'!$E:$E,2),0,MATCH($L36,'AC4'!$E$1:$AC$1,0)-1,$D$14),'AC2'!$F$2:$J$109,1,),19-COLUMN())</f>
        <v>0.83141808645619064</v>
      </c>
      <c r="Q36" s="79">
        <f ca="1">INDEX(LINEST(OFFSET(INDEX('AC4'!$E:$E,2),0,MATCH($L36,'AC4'!$E$1:$AC$1,0)-1,$D$14),'AC2'!$F$2:$J$109,1,),19-COLUMN())</f>
        <v>0.13958660192161249</v>
      </c>
      <c r="R36" s="307">
        <f ca="1">INDEX(LINEST(OFFSET(INDEX('AC4'!$E:$E,2),0,MATCH($L36,'AC4'!$E$1:$AC$1,0)-1,$D$14),'AC2'!$F$2:$J$109,1,),19-COLUMN())</f>
        <v>-0.78557102570241866</v>
      </c>
      <c r="S36" s="382"/>
    </row>
    <row r="37" spans="2:19" ht="15.75" thickBot="1">
      <c r="B37" s="381"/>
      <c r="C37" s="96"/>
      <c r="D37" s="96"/>
      <c r="E37" s="96"/>
      <c r="F37" s="96"/>
      <c r="G37" s="96"/>
      <c r="H37" s="96"/>
      <c r="I37" s="96"/>
      <c r="J37" s="96"/>
      <c r="K37" s="96"/>
      <c r="L37" s="81" t="s">
        <v>222</v>
      </c>
      <c r="M37" s="82">
        <f ca="1">_xlfn.T.DIST.2T(ABS(M36/INDEX(LINEST(OFFSET(INDEX('AC4'!$E:$E,2),0,MATCH($L36,'AC4'!$E$1:$AC$1,0)-1,$D$14),'AC2'!$F$2:$J$109,1,1),2,19-COLUMN())),INDEX(LINEST(OFFSET(INDEX('AC4'!$E:$E,2),0,MATCH($L36,'AC4'!$E$1:$AC$1,0)-1,$D$14),'AC2'!$F$2:$J$109,1,1),4,2))</f>
        <v>0.93903624712452749</v>
      </c>
      <c r="N37" s="82">
        <f ca="1">_xlfn.T.DIST.2T(ABS(N36/INDEX(LINEST(OFFSET(INDEX('AC4'!$E:$E,2),0,MATCH($L36,'AC4'!$E$1:$AC$1,0)-1,$D$14),'AC2'!$F$2:$J$109,1,1),2,19-COLUMN())),INDEX(LINEST(OFFSET(INDEX('AC4'!$E:$E,2),0,MATCH($L36,'AC4'!$E$1:$AC$1,0)-1,$D$14),'AC2'!$F$2:$J$109,1,1),4,2))</f>
        <v>1.1263403847767863E-8</v>
      </c>
      <c r="O37" s="82">
        <f ca="1">_xlfn.T.DIST.2T(ABS(O36/INDEX(LINEST(OFFSET(INDEX('AC4'!$E:$E,2),0,MATCH($L36,'AC4'!$E$1:$AC$1,0)-1,$D$14),'AC2'!$F$2:$J$109,1,1),2,19-COLUMN())),INDEX(LINEST(OFFSET(INDEX('AC4'!$E:$E,2),0,MATCH($L36,'AC4'!$E$1:$AC$1,0)-1,$D$14),'AC2'!$F$2:$J$109,1,1),4,2))</f>
        <v>0.59068397199427281</v>
      </c>
      <c r="P37" s="82">
        <f ca="1">_xlfn.T.DIST.2T(ABS(P36/INDEX(LINEST(OFFSET(INDEX('AC4'!$E:$E,2),0,MATCH($L36,'AC4'!$E$1:$AC$1,0)-1,$D$14),'AC2'!$F$2:$J$109,1,1),2,19-COLUMN())),INDEX(LINEST(OFFSET(INDEX('AC4'!$E:$E,2),0,MATCH($L36,'AC4'!$E$1:$AC$1,0)-1,$D$14),'AC2'!$F$2:$J$109,1,1),4,2))</f>
        <v>3.6028858483253992E-3</v>
      </c>
      <c r="Q37" s="82">
        <f ca="1">_xlfn.T.DIST.2T(ABS(Q36/INDEX(LINEST(OFFSET(INDEX('AC4'!$E:$E,2),0,MATCH($L36,'AC4'!$E$1:$AC$1,0)-1,$D$14),'AC2'!$F$2:$J$109,1,1),2,19-COLUMN())),INDEX(LINEST(OFFSET(INDEX('AC4'!$E:$E,2),0,MATCH($L36,'AC4'!$E$1:$AC$1,0)-1,$D$14),'AC2'!$F$2:$J$109,1,1),4,2))</f>
        <v>0.47896476073631578</v>
      </c>
      <c r="R37" s="308">
        <f ca="1">_xlfn.T.DIST.2T(ABS(R36/INDEX(LINEST(OFFSET(INDEX('AC4'!$E:$E,2),0,MATCH($L36,'AC4'!$E$1:$AC$1,0)-1,$D$14),'AC2'!$F$2:$J$109,1,1),2,19-COLUMN())),INDEX(LINEST(OFFSET(INDEX('AC4'!$E:$E,2),0,MATCH($L36,'AC4'!$E$1:$AC$1,0)-1,$D$14),'AC2'!$F$2:$J$109,1,1),4,2))</f>
        <v>1.7698235901533862E-3</v>
      </c>
      <c r="S37" s="382"/>
    </row>
    <row r="38" spans="2:19">
      <c r="B38" s="381"/>
      <c r="C38" s="96"/>
      <c r="D38" s="96"/>
      <c r="E38" s="96"/>
      <c r="F38" s="96"/>
      <c r="G38" s="96"/>
      <c r="H38" s="96"/>
      <c r="I38" s="96"/>
      <c r="J38" s="96"/>
      <c r="K38" s="96"/>
      <c r="L38" s="75" t="str">
        <f>F12</f>
        <v>BP</v>
      </c>
      <c r="M38" s="76">
        <f ca="1">INDEX(LINEST(OFFSET(INDEX('AC4'!$E:$E,2),0,MATCH($L38,'AC4'!$E$1:$AC$1,0)-1,$D$14),'AC2'!$F$2:$J$109,1,),19-COLUMN())</f>
        <v>-4.6308876924945428E-3</v>
      </c>
      <c r="N38" s="76">
        <f ca="1">INDEX(LINEST(OFFSET(INDEX('AC4'!$E:$E,2),0,MATCH($L38,'AC4'!$E$1:$AC$1,0)-1,$D$14),'AC2'!$F$2:$J$109,1,),19-COLUMN())</f>
        <v>1.4121101721772498</v>
      </c>
      <c r="O38" s="76">
        <f ca="1">INDEX(LINEST(OFFSET(INDEX('AC4'!$E:$E,2),0,MATCH($L38,'AC4'!$E$1:$AC$1,0)-1,$D$14),'AC2'!$F$2:$J$109,1,),19-COLUMN())</f>
        <v>-0.98559235728435757</v>
      </c>
      <c r="P38" s="76">
        <f ca="1">INDEX(LINEST(OFFSET(INDEX('AC4'!$E:$E,2),0,MATCH($L38,'AC4'!$E$1:$AC$1,0)-1,$D$14),'AC2'!$F$2:$J$109,1,),19-COLUMN())</f>
        <v>0.75071456486423105</v>
      </c>
      <c r="Q38" s="76">
        <f ca="1">INDEX(LINEST(OFFSET(INDEX('AC4'!$E:$E,2),0,MATCH($L38,'AC4'!$E$1:$AC$1,0)-1,$D$14),'AC2'!$F$2:$J$109,1,),19-COLUMN())</f>
        <v>0.208201928177907</v>
      </c>
      <c r="R38" s="309">
        <f ca="1">INDEX(LINEST(OFFSET(INDEX('AC4'!$E:$E,2),0,MATCH($L38,'AC4'!$E$1:$AC$1,0)-1,$D$14),'AC2'!$F$2:$J$109,1,),19-COLUMN())</f>
        <v>0.9378377404978776</v>
      </c>
      <c r="S38" s="382"/>
    </row>
    <row r="39" spans="2:19" ht="15.75" thickBot="1">
      <c r="B39" s="381"/>
      <c r="C39" s="96"/>
      <c r="D39" s="96"/>
      <c r="E39" s="96"/>
      <c r="F39" s="96"/>
      <c r="G39" s="96"/>
      <c r="H39" s="96"/>
      <c r="I39" s="96"/>
      <c r="J39" s="96"/>
      <c r="K39" s="96"/>
      <c r="L39" s="101" t="s">
        <v>222</v>
      </c>
      <c r="M39" s="74">
        <f ca="1">_xlfn.T.DIST.2T(ABS(M38/INDEX(LINEST(OFFSET(INDEX('AC4'!$E:$E,2),0,MATCH($L38,'AC4'!$E$1:$AC$1,0)-1,$D$14),'AC2'!$F$2:$J$109,1,1),2,19-COLUMN())),INDEX(LINEST(OFFSET(INDEX('AC4'!$E:$E,2),0,MATCH($L38,'AC4'!$E$1:$AC$1,0)-1,$D$14),'AC2'!$F$2:$J$109,1,1),4,2))</f>
        <v>0.41845908243415986</v>
      </c>
      <c r="N39" s="74">
        <f ca="1">_xlfn.T.DIST.2T(ABS(N38/INDEX(LINEST(OFFSET(INDEX('AC4'!$E:$E,2),0,MATCH($L38,'AC4'!$E$1:$AC$1,0)-1,$D$14),'AC2'!$F$2:$J$109,1,1),2,19-COLUMN())),INDEX(LINEST(OFFSET(INDEX('AC4'!$E:$E,2),0,MATCH($L38,'AC4'!$E$1:$AC$1,0)-1,$D$14),'AC2'!$F$2:$J$109,1,1),4,2))</f>
        <v>2.2663774941609037E-16</v>
      </c>
      <c r="O39" s="74">
        <f ca="1">_xlfn.T.DIST.2T(ABS(O38/INDEX(LINEST(OFFSET(INDEX('AC4'!$E:$E,2),0,MATCH($L38,'AC4'!$E$1:$AC$1,0)-1,$D$14),'AC2'!$F$2:$J$109,1,1),2,19-COLUMN())),INDEX(LINEST(OFFSET(INDEX('AC4'!$E:$E,2),0,MATCH($L38,'AC4'!$E$1:$AC$1,0)-1,$D$14),'AC2'!$F$2:$J$109,1,1),4,2))</f>
        <v>2.0420549246518257E-2</v>
      </c>
      <c r="P39" s="74">
        <f ca="1">_xlfn.T.DIST.2T(ABS(P38/INDEX(LINEST(OFFSET(INDEX('AC4'!$E:$E,2),0,MATCH($L38,'AC4'!$E$1:$AC$1,0)-1,$D$14),'AC2'!$F$2:$J$109,1,1),2,19-COLUMN())),INDEX(LINEST(OFFSET(INDEX('AC4'!$E:$E,2),0,MATCH($L38,'AC4'!$E$1:$AC$1,0)-1,$D$14),'AC2'!$F$2:$J$109,1,1),4,2))</f>
        <v>4.0103195720285478E-2</v>
      </c>
      <c r="Q39" s="74">
        <f ca="1">_xlfn.T.DIST.2T(ABS(Q38/INDEX(LINEST(OFFSET(INDEX('AC4'!$E:$E,2),0,MATCH($L38,'AC4'!$E$1:$AC$1,0)-1,$D$14),'AC2'!$F$2:$J$109,1,1),2,19-COLUMN())),INDEX(LINEST(OFFSET(INDEX('AC4'!$E:$E,2),0,MATCH($L38,'AC4'!$E$1:$AC$1,0)-1,$D$14),'AC2'!$F$2:$J$109,1,1),4,2))</f>
        <v>0.41469878182045705</v>
      </c>
      <c r="R39" s="310">
        <f ca="1">_xlfn.T.DIST.2T(ABS(R38/INDEX(LINEST(OFFSET(INDEX('AC4'!$E:$E,2),0,MATCH($L38,'AC4'!$E$1:$AC$1,0)-1,$D$14),'AC2'!$F$2:$J$109,1,1),2,19-COLUMN())),INDEX(LINEST(OFFSET(INDEX('AC4'!$E:$E,2),0,MATCH($L38,'AC4'!$E$1:$AC$1,0)-1,$D$14),'AC2'!$F$2:$J$109,1,1),4,2))</f>
        <v>3.8016351570621361E-3</v>
      </c>
      <c r="S39" s="382"/>
    </row>
    <row r="40" spans="2:19">
      <c r="B40" s="381"/>
      <c r="C40" s="96"/>
      <c r="D40" s="96"/>
      <c r="E40" s="96"/>
      <c r="F40" s="96"/>
      <c r="G40" s="96"/>
      <c r="H40" s="96"/>
      <c r="I40" s="96"/>
      <c r="J40" s="96"/>
      <c r="K40" s="96"/>
      <c r="L40" s="78" t="str">
        <f>F13</f>
        <v>IBM</v>
      </c>
      <c r="M40" s="79">
        <f ca="1">INDEX(LINEST(OFFSET(INDEX('AC4'!$E:$E,2),0,MATCH($L40,'AC4'!$E$1:$AC$1,0)-1,$D$14),'AC2'!$F$2:$J$109,1,),19-COLUMN())</f>
        <v>-2.7761972684462802E-3</v>
      </c>
      <c r="N40" s="79">
        <f ca="1">INDEX(LINEST(OFFSET(INDEX('AC4'!$E:$E,2),0,MATCH($L40,'AC4'!$E$1:$AC$1,0)-1,$D$14),'AC2'!$F$2:$J$109,1,),19-COLUMN())</f>
        <v>0.78412039575779025</v>
      </c>
      <c r="O40" s="79">
        <f ca="1">INDEX(LINEST(OFFSET(INDEX('AC4'!$E:$E,2),0,MATCH($L40,'AC4'!$E$1:$AC$1,0)-1,$D$14),'AC2'!$F$2:$J$109,1,),19-COLUMN())</f>
        <v>0.18858298762519357</v>
      </c>
      <c r="P40" s="79">
        <f ca="1">INDEX(LINEST(OFFSET(INDEX('AC4'!$E:$E,2),0,MATCH($L40,'AC4'!$E$1:$AC$1,0)-1,$D$14),'AC2'!$F$2:$J$109,1,),19-COLUMN())</f>
        <v>-0.24465952392659054</v>
      </c>
      <c r="Q40" s="79">
        <f ca="1">INDEX(LINEST(OFFSET(INDEX('AC4'!$E:$E,2),0,MATCH($L40,'AC4'!$E$1:$AC$1,0)-1,$D$14),'AC2'!$F$2:$J$109,1,),19-COLUMN())</f>
        <v>-8.6294818470232307E-2</v>
      </c>
      <c r="R40" s="307">
        <f ca="1">INDEX(LINEST(OFFSET(INDEX('AC4'!$E:$E,2),0,MATCH($L40,'AC4'!$E$1:$AC$1,0)-1,$D$14),'AC2'!$F$2:$J$109,1,),19-COLUMN())</f>
        <v>0.17519882647973573</v>
      </c>
      <c r="S40" s="382"/>
    </row>
    <row r="41" spans="2:19" ht="15.75" thickBot="1">
      <c r="B41" s="381"/>
      <c r="C41" s="96"/>
      <c r="D41" s="96"/>
      <c r="E41" s="96"/>
      <c r="F41" s="96"/>
      <c r="G41" s="96"/>
      <c r="H41" s="96"/>
      <c r="I41" s="96"/>
      <c r="J41" s="96"/>
      <c r="K41" s="96"/>
      <c r="L41" s="81" t="s">
        <v>222</v>
      </c>
      <c r="M41" s="82">
        <f ca="1">_xlfn.T.DIST.2T(ABS(M40/INDEX(LINEST(OFFSET(INDEX('AC4'!$E:$E,2),0,MATCH($L40,'AC4'!$E$1:$AC$1,0)-1,$D$14),'AC2'!$F$2:$J$109,1,1),2,19-COLUMN())),INDEX(LINEST(OFFSET(INDEX('AC4'!$E:$E,2),0,MATCH($L40,'AC4'!$E$1:$AC$1,0)-1,$D$14),'AC2'!$F$2:$J$109,1,1),4,2))</f>
        <v>0.5407044154243108</v>
      </c>
      <c r="N41" s="82">
        <f ca="1">_xlfn.T.DIST.2T(ABS(N40/INDEX(LINEST(OFFSET(INDEX('AC4'!$E:$E,2),0,MATCH($L40,'AC4'!$E$1:$AC$1,0)-1,$D$14),'AC2'!$F$2:$J$109,1,1),2,19-COLUMN())),INDEX(LINEST(OFFSET(INDEX('AC4'!$E:$E,2),0,MATCH($L40,'AC4'!$E$1:$AC$1,0)-1,$D$14),'AC2'!$F$2:$J$109,1,1),4,2))</f>
        <v>5.4942486898428873E-10</v>
      </c>
      <c r="O41" s="82">
        <f ca="1">_xlfn.T.DIST.2T(ABS(O40/INDEX(LINEST(OFFSET(INDEX('AC4'!$E:$E,2),0,MATCH($L40,'AC4'!$E$1:$AC$1,0)-1,$D$14),'AC2'!$F$2:$J$109,1,1),2,19-COLUMN())),INDEX(LINEST(OFFSET(INDEX('AC4'!$E:$E,2),0,MATCH($L40,'AC4'!$E$1:$AC$1,0)-1,$D$14),'AC2'!$F$2:$J$109,1,1),4,2))</f>
        <v>0.57129170411726871</v>
      </c>
      <c r="P41" s="82">
        <f ca="1">_xlfn.T.DIST.2T(ABS(P40/INDEX(LINEST(OFFSET(INDEX('AC4'!$E:$E,2),0,MATCH($L40,'AC4'!$E$1:$AC$1,0)-1,$D$14),'AC2'!$F$2:$J$109,1,1),2,19-COLUMN())),INDEX(LINEST(OFFSET(INDEX('AC4'!$E:$E,2),0,MATCH($L40,'AC4'!$E$1:$AC$1,0)-1,$D$14),'AC2'!$F$2:$J$109,1,1),4,2))</f>
        <v>0.39508373447208567</v>
      </c>
      <c r="Q41" s="82">
        <f ca="1">_xlfn.T.DIST.2T(ABS(Q40/INDEX(LINEST(OFFSET(INDEX('AC4'!$E:$E,2),0,MATCH($L40,'AC4'!$E$1:$AC$1,0)-1,$D$14),'AC2'!$F$2:$J$109,1,1),2,19-COLUMN())),INDEX(LINEST(OFFSET(INDEX('AC4'!$E:$E,2),0,MATCH($L40,'AC4'!$E$1:$AC$1,0)-1,$D$14),'AC2'!$F$2:$J$109,1,1),4,2))</f>
        <v>0.66967991402089733</v>
      </c>
      <c r="R41" s="308">
        <f ca="1">_xlfn.T.DIST.2T(ABS(R40/INDEX(LINEST(OFFSET(INDEX('AC4'!$E:$E,2),0,MATCH($L40,'AC4'!$E$1:$AC$1,0)-1,$D$14),'AC2'!$F$2:$J$109,1,1),2,19-COLUMN())),INDEX(LINEST(OFFSET(INDEX('AC4'!$E:$E,2),0,MATCH($L40,'AC4'!$E$1:$AC$1,0)-1,$D$14),'AC2'!$F$2:$J$109,1,1),4,2))</f>
        <v>0.487129646076499</v>
      </c>
      <c r="S41" s="382"/>
    </row>
    <row r="42" spans="2:19">
      <c r="B42" s="381"/>
      <c r="C42" s="96"/>
      <c r="D42" s="96"/>
      <c r="E42" s="96"/>
      <c r="F42" s="96"/>
      <c r="G42" s="96"/>
      <c r="H42" s="96"/>
      <c r="I42" s="96"/>
      <c r="J42" s="96"/>
      <c r="K42" s="96"/>
      <c r="L42" s="75" t="str">
        <f>F14</f>
        <v>Adobe</v>
      </c>
      <c r="M42" s="76">
        <f ca="1">INDEX(LINEST(OFFSET(INDEX('AC4'!$E:$E,2),0,MATCH($L42,'AC4'!$E$1:$AC$1,0)-1,$D$14),'AC2'!$F$2:$J$109,1,),19-COLUMN())</f>
        <v>9.1670218545377626E-3</v>
      </c>
      <c r="N42" s="76">
        <f ca="1">INDEX(LINEST(OFFSET(INDEX('AC4'!$E:$E,2),0,MATCH($L42,'AC4'!$E$1:$AC$1,0)-1,$D$14),'AC2'!$F$2:$J$109,1,),19-COLUMN())</f>
        <v>1.1329880418556988</v>
      </c>
      <c r="O42" s="76">
        <f ca="1">INDEX(LINEST(OFFSET(INDEX('AC4'!$E:$E,2),0,MATCH($L42,'AC4'!$E$1:$AC$1,0)-1,$D$14),'AC2'!$F$2:$J$109,1,),19-COLUMN())</f>
        <v>-0.14092776525867326</v>
      </c>
      <c r="P42" s="76">
        <f ca="1">INDEX(LINEST(OFFSET(INDEX('AC4'!$E:$E,2),0,MATCH($L42,'AC4'!$E$1:$AC$1,0)-1,$D$14),'AC2'!$F$2:$J$109,1,),19-COLUMN())</f>
        <v>-0.52410908842241377</v>
      </c>
      <c r="Q42" s="76">
        <f ca="1">INDEX(LINEST(OFFSET(INDEX('AC4'!$E:$E,2),0,MATCH($L42,'AC4'!$E$1:$AC$1,0)-1,$D$14),'AC2'!$F$2:$J$109,1,),19-COLUMN())</f>
        <v>0.22437494404591868</v>
      </c>
      <c r="R42" s="309">
        <f ca="1">INDEX(LINEST(OFFSET(INDEX('AC4'!$E:$E,2),0,MATCH($L42,'AC4'!$E$1:$AC$1,0)-1,$D$14),'AC2'!$F$2:$J$109,1,),19-COLUMN())</f>
        <v>7.3760094442444454E-2</v>
      </c>
      <c r="S42" s="382"/>
    </row>
    <row r="43" spans="2:19" ht="15.75" thickBot="1">
      <c r="B43" s="381"/>
      <c r="C43" s="96"/>
      <c r="D43" s="96"/>
      <c r="E43" s="96"/>
      <c r="F43" s="96"/>
      <c r="G43" s="96"/>
      <c r="H43" s="96"/>
      <c r="I43" s="96"/>
      <c r="J43" s="96"/>
      <c r="K43" s="96"/>
      <c r="L43" s="70" t="s">
        <v>222</v>
      </c>
      <c r="M43" s="71">
        <f ca="1">_xlfn.T.DIST.2T(ABS(M42/INDEX(LINEST(OFFSET(INDEX('AC4'!$E:$E,2),0,MATCH($L42,'AC4'!$E$1:$AC$1,0)-1,$D$14),'AC2'!$F$2:$J$109,1,1),2,19-COLUMN())),INDEX(LINEST(OFFSET(INDEX('AC4'!$E:$E,2),0,MATCH($L42,'AC4'!$E$1:$AC$1,0)-1,$D$14),'AC2'!$F$2:$J$109,1,1),4,2))</f>
        <v>8.5803149004349794E-2</v>
      </c>
      <c r="N43" s="71">
        <f ca="1">_xlfn.T.DIST.2T(ABS(N42/INDEX(LINEST(OFFSET(INDEX('AC4'!$E:$E,2),0,MATCH($L42,'AC4'!$E$1:$AC$1,0)-1,$D$14),'AC2'!$F$2:$J$109,1,1),2,19-COLUMN())),INDEX(LINEST(OFFSET(INDEX('AC4'!$E:$E,2),0,MATCH($L42,'AC4'!$E$1:$AC$1,0)-1,$D$14),'AC2'!$F$2:$J$109,1,1),4,2))</f>
        <v>1.8276313087418377E-13</v>
      </c>
      <c r="O43" s="71">
        <f ca="1">_xlfn.T.DIST.2T(ABS(O42/INDEX(LINEST(OFFSET(INDEX('AC4'!$E:$E,2),0,MATCH($L42,'AC4'!$E$1:$AC$1,0)-1,$D$14),'AC2'!$F$2:$J$109,1,1),2,19-COLUMN())),INDEX(LINEST(OFFSET(INDEX('AC4'!$E:$E,2),0,MATCH($L42,'AC4'!$E$1:$AC$1,0)-1,$D$14),'AC2'!$F$2:$J$109,1,1),4,2))</f>
        <v>0.71713708111034791</v>
      </c>
      <c r="P43" s="71">
        <f ca="1">_xlfn.T.DIST.2T(ABS(P42/INDEX(LINEST(OFFSET(INDEX('AC4'!$E:$E,2),0,MATCH($L42,'AC4'!$E$1:$AC$1,0)-1,$D$14),'AC2'!$F$2:$J$109,1,1),2,19-COLUMN())),INDEX(LINEST(OFFSET(INDEX('AC4'!$E:$E,2),0,MATCH($L42,'AC4'!$E$1:$AC$1,0)-1,$D$14),'AC2'!$F$2:$J$109,1,1),4,2))</f>
        <v>0.12046963412776124</v>
      </c>
      <c r="Q43" s="71">
        <f ca="1">_xlfn.T.DIST.2T(ABS(Q42/INDEX(LINEST(OFFSET(INDEX('AC4'!$E:$E,2),0,MATCH($L42,'AC4'!$E$1:$AC$1,0)-1,$D$14),'AC2'!$F$2:$J$109,1,1),2,19-COLUMN())),INDEX(LINEST(OFFSET(INDEX('AC4'!$E:$E,2),0,MATCH($L42,'AC4'!$E$1:$AC$1,0)-1,$D$14),'AC2'!$F$2:$J$109,1,1),4,2))</f>
        <v>0.34329758009747469</v>
      </c>
      <c r="R43" s="311">
        <f ca="1">_xlfn.T.DIST.2T(ABS(R42/INDEX(LINEST(OFFSET(INDEX('AC4'!$E:$E,2),0,MATCH($L42,'AC4'!$E$1:$AC$1,0)-1,$D$14),'AC2'!$F$2:$J$109,1,1),2,19-COLUMN())),INDEX(LINEST(OFFSET(INDEX('AC4'!$E:$E,2),0,MATCH($L42,'AC4'!$E$1:$AC$1,0)-1,$D$14),'AC2'!$F$2:$J$109,1,1),4,2))</f>
        <v>0.80208122232921053</v>
      </c>
      <c r="S43" s="382"/>
    </row>
    <row r="44" spans="2:19">
      <c r="B44" s="381"/>
      <c r="C44" s="96"/>
      <c r="D44" s="96"/>
      <c r="E44" s="96"/>
      <c r="F44" s="96"/>
      <c r="G44" s="96"/>
      <c r="H44" s="96"/>
      <c r="I44" s="96"/>
      <c r="J44" s="96"/>
      <c r="K44" s="96"/>
      <c r="L44" s="98"/>
      <c r="M44" s="99"/>
      <c r="N44" s="99"/>
      <c r="O44" s="99"/>
      <c r="P44" s="99"/>
      <c r="Q44" s="99"/>
      <c r="R44" s="99"/>
      <c r="S44" s="382"/>
    </row>
    <row r="45" spans="2:19">
      <c r="B45" s="381"/>
      <c r="C45" s="96"/>
      <c r="D45" s="96"/>
      <c r="E45" s="96"/>
      <c r="F45" s="96"/>
      <c r="G45" s="96"/>
      <c r="H45" s="96"/>
      <c r="I45" s="96"/>
      <c r="J45" s="96"/>
      <c r="K45" s="96"/>
      <c r="L45" s="95"/>
      <c r="M45" s="97"/>
      <c r="N45" s="97"/>
      <c r="O45" s="97"/>
      <c r="P45" s="97"/>
      <c r="Q45" s="97"/>
      <c r="R45" s="97"/>
      <c r="S45" s="382"/>
    </row>
    <row r="46" spans="2:19">
      <c r="B46" s="381"/>
      <c r="C46" s="96"/>
      <c r="D46" s="96"/>
      <c r="E46" s="96"/>
      <c r="F46" s="96"/>
      <c r="G46" s="96"/>
      <c r="H46" s="96"/>
      <c r="I46" s="96"/>
      <c r="J46" s="96"/>
      <c r="K46" s="96"/>
      <c r="L46" s="98"/>
      <c r="M46" s="99"/>
      <c r="N46" s="99"/>
      <c r="O46" s="99"/>
      <c r="P46" s="99"/>
      <c r="Q46" s="99"/>
      <c r="R46" s="99"/>
      <c r="S46" s="382"/>
    </row>
    <row r="47" spans="2:19">
      <c r="B47" s="381"/>
      <c r="C47" s="96"/>
      <c r="D47" s="96"/>
      <c r="E47" s="96"/>
      <c r="F47" s="96"/>
      <c r="G47" s="96"/>
      <c r="H47" s="96"/>
      <c r="I47" s="96"/>
      <c r="J47" s="96"/>
      <c r="K47" s="96"/>
      <c r="L47" s="95"/>
      <c r="M47" s="97"/>
      <c r="N47" s="100"/>
      <c r="O47" s="100"/>
      <c r="P47" s="100"/>
      <c r="Q47" s="100"/>
      <c r="R47" s="100"/>
      <c r="S47" s="382"/>
    </row>
    <row r="48" spans="2:19" ht="21.75" customHeight="1" thickBot="1">
      <c r="B48" s="393"/>
      <c r="C48" s="394"/>
      <c r="D48" s="394"/>
      <c r="E48" s="394"/>
      <c r="F48" s="394"/>
      <c r="G48" s="394"/>
      <c r="H48" s="394"/>
      <c r="I48" s="394"/>
      <c r="J48" s="394"/>
      <c r="K48" s="394"/>
      <c r="L48" s="34"/>
      <c r="M48" s="34"/>
      <c r="N48" s="34"/>
      <c r="O48" s="34"/>
      <c r="P48" s="34"/>
      <c r="Q48" s="34"/>
      <c r="R48" s="34"/>
      <c r="S48" s="395"/>
    </row>
    <row r="49" spans="2:11">
      <c r="B49" s="396"/>
      <c r="C49" s="396"/>
      <c r="D49" s="396"/>
      <c r="E49" s="396"/>
      <c r="F49" s="396"/>
      <c r="G49" s="396"/>
      <c r="H49" s="396"/>
      <c r="I49" s="396"/>
      <c r="J49" s="396"/>
      <c r="K49" s="396"/>
    </row>
  </sheetData>
  <sheetProtection algorithmName="SHA-512" hashValue="m5iNzqjWRV+nZI8y9xLdAfb/+o4AuDuJwO8aaLllPv0SIV/PmPqnKD1cA1Po0T9AKIl3jTpXvXXa5AzOO5Ho6g==" saltValue="CZ6taIYzX44rWokGKnfg6w==" spinCount="100000" sheet="1" objects="1" scenarios="1"/>
  <mergeCells count="6">
    <mergeCell ref="L32:R32"/>
    <mergeCell ref="F2:N4"/>
    <mergeCell ref="C9:D9"/>
    <mergeCell ref="L9:Q9"/>
    <mergeCell ref="L24:Q24"/>
    <mergeCell ref="I9:J9"/>
  </mergeCells>
  <dataValidations count="1">
    <dataValidation type="list" allowBlank="1" showInputMessage="1" showErrorMessage="1" sqref="J10">
      <formula1>"yes,no"</formula1>
    </dataValidation>
  </dataValidations>
  <pageMargins left="0.25" right="0.25" top="0.75" bottom="0.75" header="0.3" footer="0.3"/>
  <pageSetup paperSize="9" scale="61" orientation="landscape" r:id="rId1"/>
  <ignoredErrors>
    <ignoredError sqref="M35:R41 M42:R42"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'Asset Returns'!$F$1:$N$1</xm:f>
          </x14:formula1>
          <xm:sqref>F10:F14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49"/>
  <sheetViews>
    <sheetView zoomScaleNormal="100" workbookViewId="0">
      <selection activeCell="J10" sqref="J10"/>
    </sheetView>
  </sheetViews>
  <sheetFormatPr baseColWidth="10" defaultRowHeight="15"/>
  <cols>
    <col min="1" max="1" width="5.7109375" style="33" customWidth="1"/>
    <col min="2" max="4" width="15.7109375" style="33" customWidth="1"/>
    <col min="5" max="5" width="11.42578125" style="33" customWidth="1"/>
    <col min="6" max="6" width="19.85546875" style="33" bestFit="1" customWidth="1"/>
    <col min="7" max="7" width="11.42578125" style="33" customWidth="1"/>
    <col min="8" max="8" width="15.7109375" style="33" customWidth="1"/>
    <col min="9" max="9" width="13.28515625" style="33" customWidth="1"/>
    <col min="10" max="10" width="11.42578125" style="33"/>
    <col min="11" max="11" width="11.42578125" style="33" customWidth="1"/>
    <col min="12" max="12" width="13.28515625" style="33" bestFit="1" customWidth="1"/>
    <col min="13" max="13" width="11.42578125" style="33" customWidth="1"/>
    <col min="14" max="18" width="11.42578125" style="33"/>
    <col min="19" max="19" width="5.7109375" style="33" customWidth="1"/>
    <col min="20" max="16384" width="11.42578125" style="33"/>
  </cols>
  <sheetData>
    <row r="2" spans="2:19" ht="15" customHeight="1">
      <c r="E2" s="113"/>
      <c r="F2" s="452"/>
      <c r="G2" s="452"/>
      <c r="H2" s="452"/>
      <c r="I2" s="452"/>
      <c r="J2" s="452"/>
      <c r="K2" s="452"/>
      <c r="L2" s="452"/>
      <c r="M2" s="452"/>
      <c r="N2" s="452"/>
      <c r="O2" s="113"/>
    </row>
    <row r="3" spans="2:19" ht="15" customHeight="1">
      <c r="E3" s="377"/>
      <c r="F3" s="452"/>
      <c r="G3" s="452"/>
      <c r="H3" s="452"/>
      <c r="I3" s="452"/>
      <c r="J3" s="452"/>
      <c r="K3" s="452"/>
      <c r="L3" s="452"/>
      <c r="M3" s="452"/>
      <c r="N3" s="452"/>
      <c r="O3" s="377"/>
    </row>
    <row r="4" spans="2:19" ht="15" customHeight="1">
      <c r="E4" s="113"/>
      <c r="F4" s="452"/>
      <c r="G4" s="452"/>
      <c r="H4" s="452"/>
      <c r="I4" s="452"/>
      <c r="J4" s="452"/>
      <c r="K4" s="452"/>
      <c r="L4" s="452"/>
      <c r="M4" s="452"/>
      <c r="N4" s="452"/>
      <c r="O4" s="113"/>
    </row>
    <row r="6" spans="2:19" ht="15.75" thickBot="1"/>
    <row r="7" spans="2:19" ht="19.5" thickBot="1">
      <c r="B7" s="378" t="s">
        <v>212</v>
      </c>
      <c r="C7" s="379"/>
      <c r="D7" s="379"/>
      <c r="E7" s="379"/>
      <c r="F7" s="379"/>
      <c r="G7" s="379"/>
      <c r="H7" s="379"/>
      <c r="I7" s="379"/>
      <c r="J7" s="379"/>
      <c r="K7" s="379"/>
      <c r="L7" s="379"/>
      <c r="M7" s="379"/>
      <c r="N7" s="379"/>
      <c r="O7" s="379"/>
      <c r="P7" s="379"/>
      <c r="Q7" s="379"/>
      <c r="R7" s="379"/>
      <c r="S7" s="380"/>
    </row>
    <row r="8" spans="2:19" ht="15.75" thickBot="1">
      <c r="B8" s="381"/>
      <c r="C8" s="96"/>
      <c r="D8" s="96"/>
      <c r="E8" s="96"/>
      <c r="F8" s="96"/>
      <c r="G8" s="96"/>
      <c r="H8" s="96"/>
      <c r="I8" s="96"/>
      <c r="J8" s="96"/>
      <c r="K8" s="96"/>
      <c r="L8" s="113"/>
      <c r="M8" s="113"/>
      <c r="N8" s="113"/>
      <c r="O8" s="113"/>
      <c r="P8" s="113"/>
      <c r="Q8" s="113"/>
      <c r="R8" s="113"/>
      <c r="S8" s="382"/>
    </row>
    <row r="9" spans="2:19" ht="15.75" thickBot="1">
      <c r="B9" s="383"/>
      <c r="C9" s="453" t="s">
        <v>4</v>
      </c>
      <c r="D9" s="454"/>
      <c r="E9" s="113"/>
      <c r="F9" s="384" t="s">
        <v>243</v>
      </c>
      <c r="H9" s="397"/>
      <c r="I9" s="455" t="s">
        <v>204</v>
      </c>
      <c r="J9" s="456"/>
      <c r="K9" s="113"/>
      <c r="L9" s="449" t="s">
        <v>208</v>
      </c>
      <c r="M9" s="457"/>
      <c r="N9" s="458"/>
      <c r="O9" s="170"/>
      <c r="R9" s="113"/>
      <c r="S9" s="382"/>
    </row>
    <row r="10" spans="2:19" ht="15.75" thickBot="1">
      <c r="B10" s="383"/>
      <c r="C10" s="371" t="s">
        <v>199</v>
      </c>
      <c r="D10" s="436" t="s">
        <v>3</v>
      </c>
      <c r="E10" s="113"/>
      <c r="F10" s="398" t="s">
        <v>241</v>
      </c>
      <c r="H10" s="399"/>
      <c r="I10" s="374" t="s">
        <v>166</v>
      </c>
      <c r="J10" s="375" t="s">
        <v>298</v>
      </c>
      <c r="K10" s="113"/>
      <c r="L10" s="59" t="s">
        <v>205</v>
      </c>
      <c r="M10" s="253" t="str">
        <f>F10</f>
        <v>Philips Bond</v>
      </c>
      <c r="N10" s="61" t="str">
        <f>F11</f>
        <v>IBM Bond</v>
      </c>
      <c r="O10" s="95"/>
      <c r="R10" s="113"/>
      <c r="S10" s="382"/>
    </row>
    <row r="11" spans="2:19" ht="15.75" thickBot="1">
      <c r="B11" s="383"/>
      <c r="C11" s="372" t="s">
        <v>200</v>
      </c>
      <c r="D11" s="437" t="s">
        <v>221</v>
      </c>
      <c r="E11" s="113"/>
      <c r="F11" s="400" t="s">
        <v>242</v>
      </c>
      <c r="H11" s="385"/>
      <c r="I11" s="385" t="s">
        <v>234</v>
      </c>
      <c r="J11" s="386"/>
      <c r="K11" s="113"/>
      <c r="L11" s="65" t="s">
        <v>213</v>
      </c>
      <c r="M11" s="66">
        <f ca="1">AVERAGE(OFFSET(INDEX('Asset Returns'!$E:$E,2),0,MATCH(M$10,'Asset Returns'!$E$1:$ZH$1,0)-1,$D$14))</f>
        <v>5.3635468763529714E-3</v>
      </c>
      <c r="N11" s="67">
        <f ca="1">AVERAGE(OFFSET(INDEX('Asset Returns'!$E:$E,2),0,MATCH(N$10,'Asset Returns'!$E$1:$ZH$1,0)-1,$D$14))</f>
        <v>5.2517359449055978E-3</v>
      </c>
      <c r="O11" s="111"/>
      <c r="R11" s="113"/>
      <c r="S11" s="382"/>
    </row>
    <row r="12" spans="2:19" ht="15.75" thickBot="1">
      <c r="B12" s="383"/>
      <c r="C12" s="372" t="s">
        <v>201</v>
      </c>
      <c r="D12" s="438">
        <v>40179</v>
      </c>
      <c r="E12" s="113"/>
      <c r="F12" s="376" t="s">
        <v>220</v>
      </c>
      <c r="H12" s="387"/>
      <c r="I12" s="386"/>
      <c r="J12" s="96"/>
      <c r="K12" s="113"/>
      <c r="L12" s="39" t="s">
        <v>17</v>
      </c>
      <c r="M12" s="40">
        <f ca="1">MEDIAN(OFFSET(INDEX('Asset Returns'!$E:$E,2),0,MATCH(M$10,'Asset Returns'!$E$1:$ZH$1,0)-1,$D$14))</f>
        <v>2.913145865522826E-3</v>
      </c>
      <c r="N12" s="41">
        <f ca="1">MEDIAN(OFFSET(INDEX('Asset Returns'!$E:$E,2),0,MATCH(N$10,'Asset Returns'!$E$1:$ZH$1,0)-1,$D$14))</f>
        <v>6.22224719453357E-3</v>
      </c>
      <c r="O12" s="112"/>
      <c r="R12" s="113"/>
      <c r="S12" s="382"/>
    </row>
    <row r="13" spans="2:19" ht="15.75" thickBot="1">
      <c r="B13" s="383"/>
      <c r="C13" s="372" t="s">
        <v>202</v>
      </c>
      <c r="D13" s="438">
        <v>43465</v>
      </c>
      <c r="E13" s="113"/>
      <c r="H13" s="387"/>
      <c r="I13" s="386"/>
      <c r="J13" s="96"/>
      <c r="K13" s="113"/>
      <c r="L13" s="36" t="s">
        <v>8</v>
      </c>
      <c r="M13" s="37">
        <f ca="1">MIN(OFFSET(INDEX('Asset Returns'!$E:$E,2),0,MATCH(M$10,'Asset Returns'!$E$1:$ZH$1,0)-1,$D$14))</f>
        <v>-5.2064712766367927E-2</v>
      </c>
      <c r="N13" s="38">
        <f ca="1">MIN(OFFSET(INDEX('Asset Returns'!$E:$E,2),0,MATCH(N$10,'Asset Returns'!$E$1:$ZH$1,0)-1,$D$14))</f>
        <v>-4.9050220541593137E-2</v>
      </c>
      <c r="O13" s="111"/>
      <c r="R13" s="113"/>
      <c r="S13" s="382"/>
    </row>
    <row r="14" spans="2:19" ht="15.75" thickBot="1">
      <c r="B14" s="383"/>
      <c r="C14" s="373" t="s">
        <v>203</v>
      </c>
      <c r="D14" s="435">
        <v>108</v>
      </c>
      <c r="E14" s="113"/>
      <c r="H14" s="387"/>
      <c r="I14" s="386"/>
      <c r="J14" s="389"/>
      <c r="K14" s="113"/>
      <c r="L14" s="39" t="s">
        <v>9</v>
      </c>
      <c r="M14" s="40">
        <f ca="1">MAX(OFFSET(INDEX('Asset Returns'!$E:$E,2),0,MATCH(M$10,'Asset Returns'!$E$1:$ZH$1,0)-1,$D$14))</f>
        <v>6.9861590294677312E-2</v>
      </c>
      <c r="N14" s="41">
        <f ca="1">MAX(OFFSET(INDEX('Asset Returns'!$E:$E,2),0,MATCH(N$10,'Asset Returns'!$E$1:$ZH$1,0)-1,$D$14))</f>
        <v>9.5916374705645957E-2</v>
      </c>
      <c r="O14" s="112"/>
      <c r="R14" s="113"/>
      <c r="S14" s="382"/>
    </row>
    <row r="15" spans="2:19" ht="15.75" thickBot="1">
      <c r="B15" s="383"/>
      <c r="C15" s="388"/>
      <c r="D15" s="388"/>
      <c r="E15" s="113"/>
      <c r="F15" s="401"/>
      <c r="H15" s="387"/>
      <c r="I15" s="386"/>
      <c r="J15" s="389"/>
      <c r="K15" s="113"/>
      <c r="L15" s="36" t="s">
        <v>214</v>
      </c>
      <c r="M15" s="37">
        <f ca="1">_xlfn.STDEV.S(OFFSET(INDEX('Asset Returns'!$E:$E,2),0,MATCH(M$10,'Asset Returns'!$E$1:$ZH$1,0)-1,$D$14))</f>
        <v>2.0918315238266739E-2</v>
      </c>
      <c r="N15" s="38">
        <f ca="1">_xlfn.STDEV.S(OFFSET(INDEX('Asset Returns'!$E:$E,2),0,MATCH(N$10,'Asset Returns'!$E$1:$ZH$1,0)-1,$D$14))</f>
        <v>2.6557118895630595E-2</v>
      </c>
      <c r="O15" s="111"/>
      <c r="R15" s="113"/>
      <c r="S15" s="382"/>
    </row>
    <row r="16" spans="2:19" ht="15.75" thickBot="1">
      <c r="B16" s="383"/>
      <c r="C16" s="390"/>
      <c r="D16" s="390"/>
      <c r="E16" s="113"/>
      <c r="F16" s="390"/>
      <c r="H16" s="390"/>
      <c r="I16" s="390"/>
      <c r="J16" s="96"/>
      <c r="K16" s="113"/>
      <c r="L16" s="39" t="s">
        <v>16</v>
      </c>
      <c r="M16" s="362">
        <f ca="1">AVERAGE(OFFSET(INDEX('AC4'!$E:$E,2),0,MATCH(M$10,'Asset Returns'!$E$1:$ZH$1,0)-1,$D$14))/M15</f>
        <v>0.24312517717830281</v>
      </c>
      <c r="N16" s="295">
        <f ca="1">AVERAGE(OFFSET(INDEX('AC4'!$E:$E,2),0,MATCH(N$10,'Asset Returns'!$E$1:$ZH$1,0)-1,$D$14))/N15</f>
        <v>0.1872928380023248</v>
      </c>
      <c r="O16" s="112"/>
      <c r="R16" s="113"/>
      <c r="S16" s="382"/>
    </row>
    <row r="17" spans="2:19" ht="15.75" thickBot="1">
      <c r="B17" s="383"/>
      <c r="C17" s="390"/>
      <c r="D17" s="390"/>
      <c r="E17" s="113"/>
      <c r="F17" s="96"/>
      <c r="G17" s="390"/>
      <c r="H17" s="96"/>
      <c r="I17" s="113"/>
      <c r="J17" s="113"/>
      <c r="K17" s="113"/>
      <c r="L17" s="36" t="s">
        <v>215</v>
      </c>
      <c r="M17" s="37">
        <f ca="1">_xlfn.PERCENTILE.INC((OFFSET(INDEX('Asset Returns'!$E:$E,2),0,MATCH(M$10,'Asset Returns'!$E$1:$ZH$1,0)-1,$D$14)),0.05)</f>
        <v>-2.4197272053074863E-2</v>
      </c>
      <c r="N17" s="38">
        <f ca="1">_xlfn.PERCENTILE.INC((OFFSET(INDEX('Asset Returns'!$E:$E,2),0,MATCH(N$10,'Asset Returns'!$E$1:$ZH$1,0)-1,$D$14)),0.05)</f>
        <v>-3.2608733567913231E-2</v>
      </c>
      <c r="O17" s="111"/>
      <c r="R17" s="113"/>
      <c r="S17" s="382"/>
    </row>
    <row r="18" spans="2:19" ht="15.75" thickBot="1">
      <c r="B18" s="391"/>
      <c r="C18" s="392"/>
      <c r="D18" s="96"/>
      <c r="E18" s="96"/>
      <c r="F18" s="96"/>
      <c r="G18" s="96"/>
      <c r="H18" s="96"/>
      <c r="I18" s="96"/>
      <c r="J18" s="392"/>
      <c r="K18" s="96"/>
      <c r="L18" s="39" t="s">
        <v>216</v>
      </c>
      <c r="M18" s="40">
        <f ca="1">_xlfn.PERCENTILE.INC((OFFSET(INDEX('Asset Returns'!$E:$E,2),0,MATCH(M$10,'Asset Returns'!$E$1:$ZH$1,0)-1,$D$14)),0.1)</f>
        <v>-2.023465226335338E-2</v>
      </c>
      <c r="N18" s="41">
        <f ca="1">_xlfn.PERCENTILE.INC((OFFSET(INDEX('Asset Returns'!$E:$E,2),0,MATCH(N$10,'Asset Returns'!$E$1:$ZH$1,0)-1,$D$14)),0.1)</f>
        <v>-2.8304387454823287E-2</v>
      </c>
      <c r="O18" s="112"/>
      <c r="R18" s="113"/>
      <c r="S18" s="382"/>
    </row>
    <row r="19" spans="2:19" ht="15.75" thickBot="1">
      <c r="B19" s="391"/>
      <c r="C19" s="392"/>
      <c r="D19" s="96"/>
      <c r="E19" s="96"/>
      <c r="F19" s="96"/>
      <c r="G19" s="96"/>
      <c r="H19" s="96"/>
      <c r="I19" s="96"/>
      <c r="J19" s="392"/>
      <c r="K19" s="96"/>
      <c r="L19" s="36" t="s">
        <v>217</v>
      </c>
      <c r="M19" s="37">
        <f ca="1">_xlfn.PERCENTILE.INC((OFFSET(INDEX('Asset Returns'!$E:$E,2),0,MATCH(M$10,'Asset Returns'!$E$1:$ZH$1,0)-1,$D$14)),0.9)</f>
        <v>2.9427761283847807E-2</v>
      </c>
      <c r="N19" s="38">
        <f ca="1">_xlfn.PERCENTILE.INC((OFFSET(INDEX('Asset Returns'!$E:$E,2),0,MATCH(N$10,'Asset Returns'!$E$1:$ZH$1,0)-1,$D$14)),0.9)</f>
        <v>3.3027519153242646E-2</v>
      </c>
      <c r="O19" s="111"/>
      <c r="R19" s="113"/>
      <c r="S19" s="382"/>
    </row>
    <row r="20" spans="2:19" ht="15.75" thickBot="1">
      <c r="B20" s="381"/>
      <c r="C20" s="96"/>
      <c r="D20" s="96"/>
      <c r="E20" s="96"/>
      <c r="F20" s="96"/>
      <c r="G20" s="96"/>
      <c r="H20" s="96"/>
      <c r="I20" s="96"/>
      <c r="J20" s="96"/>
      <c r="K20" s="96"/>
      <c r="L20" s="39" t="s">
        <v>218</v>
      </c>
      <c r="M20" s="40">
        <f ca="1">_xlfn.PERCENTILE.INC((OFFSET(INDEX('Asset Returns'!$E:$E,2),0,MATCH(M$10,'Asset Returns'!$E$1:$ZH$1,0)-1,$D$14)),0.95)</f>
        <v>4.2579334567879379E-2</v>
      </c>
      <c r="N20" s="41">
        <f ca="1">_xlfn.PERCENTILE.INC((OFFSET(INDEX('Asset Returns'!$E:$E,2),0,MATCH(N$10,'Asset Returns'!$E$1:$ZH$1,0)-1,$D$14)),0.95)</f>
        <v>4.7749485540872966E-2</v>
      </c>
      <c r="O20" s="112"/>
      <c r="R20" s="113"/>
      <c r="S20" s="382"/>
    </row>
    <row r="21" spans="2:19" ht="15.75" thickBot="1">
      <c r="B21" s="381"/>
      <c r="C21" s="96"/>
      <c r="D21" s="96"/>
      <c r="E21" s="96"/>
      <c r="F21" s="96"/>
      <c r="G21" s="96"/>
      <c r="H21" s="96"/>
      <c r="I21" s="96"/>
      <c r="J21" s="96"/>
      <c r="K21" s="96"/>
      <c r="L21" s="36" t="s">
        <v>219</v>
      </c>
      <c r="M21" s="37">
        <f ca="1">SKEW(OFFSET(INDEX('Asset Returns'!$E:$E,2),0,MATCH(M$10,'Asset Returns'!$E$1:$ZH$1,0)-1,$D$14))</f>
        <v>0.13711564576199484</v>
      </c>
      <c r="N21" s="38">
        <f ca="1">SKEW(OFFSET(INDEX('Asset Returns'!$E:$E,2),0,MATCH(N$10,'Asset Returns'!$E$1:$ZH$1,0)-1,$D$14))</f>
        <v>0.69895964447897241</v>
      </c>
      <c r="O21" s="111"/>
      <c r="R21" s="113"/>
      <c r="S21" s="382"/>
    </row>
    <row r="22" spans="2:19" ht="15.75" thickBot="1">
      <c r="B22" s="381"/>
      <c r="C22" s="96"/>
      <c r="D22" s="96"/>
      <c r="E22" s="96"/>
      <c r="F22" s="96"/>
      <c r="G22" s="96"/>
      <c r="H22" s="96"/>
      <c r="I22" s="96"/>
      <c r="J22" s="96"/>
      <c r="K22" s="96"/>
      <c r="L22" s="42" t="s">
        <v>10</v>
      </c>
      <c r="M22" s="43">
        <f ca="1">KURT(OFFSET(INDEX('Asset Returns'!$E:$E,2),0,MATCH(M$10,'Asset Returns'!$E$1:$ZH$1,0)-1,$D$14))</f>
        <v>0.85444764591618183</v>
      </c>
      <c r="N22" s="44">
        <f ca="1">KURT(OFFSET(INDEX('Asset Returns'!$E:$E,2),0,MATCH(N$10,'Asset Returns'!$E$1:$ZH$1,0)-1,$D$14))</f>
        <v>1.2915171088465391</v>
      </c>
      <c r="O22" s="112"/>
      <c r="R22" s="113"/>
      <c r="S22" s="382"/>
    </row>
    <row r="23" spans="2:19" ht="15.75" thickBot="1">
      <c r="B23" s="381"/>
      <c r="C23" s="96"/>
      <c r="D23" s="96"/>
      <c r="E23" s="96"/>
      <c r="F23" s="96"/>
      <c r="G23" s="96"/>
      <c r="H23" s="96"/>
      <c r="I23" s="96"/>
      <c r="J23" s="96"/>
      <c r="K23" s="96"/>
      <c r="R23" s="113"/>
      <c r="S23" s="382"/>
    </row>
    <row r="24" spans="2:19" ht="15.75" thickBot="1">
      <c r="B24" s="381"/>
      <c r="C24" s="96"/>
      <c r="D24" s="96"/>
      <c r="E24" s="96"/>
      <c r="F24" s="96"/>
      <c r="G24" s="96"/>
      <c r="H24" s="96"/>
      <c r="I24" s="96"/>
      <c r="J24" s="96"/>
      <c r="K24" s="96"/>
      <c r="L24" s="449" t="s">
        <v>209</v>
      </c>
      <c r="M24" s="457"/>
      <c r="N24" s="458"/>
      <c r="R24" s="113"/>
      <c r="S24" s="382"/>
    </row>
    <row r="25" spans="2:19" ht="15.75" thickBot="1">
      <c r="B25" s="381"/>
      <c r="C25" s="96"/>
      <c r="D25" s="96"/>
      <c r="E25" s="96"/>
      <c r="F25" s="96"/>
      <c r="G25" s="96"/>
      <c r="H25" s="96"/>
      <c r="I25" s="96"/>
      <c r="J25" s="96"/>
      <c r="K25" s="96"/>
      <c r="L25" s="59" t="s">
        <v>130</v>
      </c>
      <c r="M25" s="253" t="str">
        <f>F10</f>
        <v>Philips Bond</v>
      </c>
      <c r="N25" s="61" t="str">
        <f>F11</f>
        <v>IBM Bond</v>
      </c>
      <c r="R25" s="113"/>
      <c r="S25" s="382"/>
    </row>
    <row r="26" spans="2:19">
      <c r="B26" s="381"/>
      <c r="C26" s="96"/>
      <c r="D26" s="96"/>
      <c r="E26" s="96"/>
      <c r="F26" s="96"/>
      <c r="G26" s="96"/>
      <c r="H26" s="96"/>
      <c r="I26" s="96"/>
      <c r="J26" s="96"/>
      <c r="K26" s="96"/>
      <c r="L26" s="68" t="str">
        <f>F10</f>
        <v>Philips Bond</v>
      </c>
      <c r="M26" s="363">
        <v>1</v>
      </c>
      <c r="N26" s="364"/>
      <c r="R26" s="113"/>
      <c r="S26" s="382"/>
    </row>
    <row r="27" spans="2:19" ht="15.75" thickBot="1">
      <c r="B27" s="381"/>
      <c r="C27" s="96"/>
      <c r="D27" s="96"/>
      <c r="E27" s="96"/>
      <c r="F27" s="96"/>
      <c r="G27" s="96"/>
      <c r="H27" s="96"/>
      <c r="I27" s="96"/>
      <c r="J27" s="96"/>
      <c r="K27" s="96"/>
      <c r="L27" s="365" t="str">
        <f>F11</f>
        <v>IBM Bond</v>
      </c>
      <c r="M27" s="366">
        <f ca="1">CORREL(OFFSET(INDEX('Asset Returns'!$E:$E,2),0,MATCH(M$25,'Asset Returns'!$E$1:$ZH$1,0)-1,$D$14),OFFSET(INDEX('Asset Returns'!$E:$E,2),0,MATCH($L27,'Asset Returns'!$E$1:$ZH$1,0)-1,$D$14))</f>
        <v>0.66984592141939236</v>
      </c>
      <c r="N27" s="367">
        <v>1</v>
      </c>
      <c r="R27" s="113"/>
      <c r="S27" s="382"/>
    </row>
    <row r="28" spans="2:19">
      <c r="B28" s="381"/>
      <c r="C28" s="96"/>
      <c r="D28" s="96"/>
      <c r="E28" s="96"/>
      <c r="F28" s="96"/>
      <c r="G28" s="96"/>
      <c r="H28" s="96"/>
      <c r="I28" s="96"/>
      <c r="J28" s="96"/>
      <c r="K28" s="96"/>
      <c r="L28" s="98"/>
      <c r="M28" s="111"/>
      <c r="N28" s="111"/>
      <c r="R28" s="113"/>
      <c r="S28" s="382"/>
    </row>
    <row r="29" spans="2:19" ht="15.75" thickBot="1">
      <c r="B29" s="381"/>
      <c r="C29" s="96"/>
      <c r="D29" s="96"/>
      <c r="E29" s="96"/>
      <c r="F29" s="96"/>
      <c r="G29" s="96"/>
      <c r="H29" s="96"/>
      <c r="I29" s="96"/>
      <c r="J29" s="96"/>
      <c r="K29" s="96"/>
      <c r="L29" s="112"/>
      <c r="S29" s="382"/>
    </row>
    <row r="30" spans="2:19" ht="15.75" thickBot="1">
      <c r="B30" s="381"/>
      <c r="C30" s="96"/>
      <c r="D30" s="96"/>
      <c r="E30" s="96"/>
      <c r="F30" s="96"/>
      <c r="G30" s="96"/>
      <c r="H30" s="96"/>
      <c r="I30" s="449" t="s">
        <v>210</v>
      </c>
      <c r="J30" s="457"/>
      <c r="K30" s="457"/>
      <c r="L30" s="457"/>
      <c r="M30" s="457"/>
      <c r="N30" s="457"/>
      <c r="O30" s="457"/>
      <c r="P30" s="457"/>
      <c r="Q30" s="457"/>
      <c r="R30" s="458"/>
      <c r="S30" s="382"/>
    </row>
    <row r="31" spans="2:19" ht="15.75" thickBot="1">
      <c r="B31" s="381"/>
      <c r="C31" s="96"/>
      <c r="D31" s="96"/>
      <c r="E31" s="96"/>
      <c r="F31" s="96"/>
      <c r="G31" s="96"/>
      <c r="H31" s="96"/>
      <c r="I31" s="59" t="s">
        <v>211</v>
      </c>
      <c r="J31" s="62" t="s">
        <v>11</v>
      </c>
      <c r="K31" s="60" t="s">
        <v>158</v>
      </c>
      <c r="L31" s="60" t="s">
        <v>12</v>
      </c>
      <c r="M31" s="60" t="s">
        <v>13</v>
      </c>
      <c r="N31" s="60" t="s">
        <v>143</v>
      </c>
      <c r="O31" s="60" t="s">
        <v>144</v>
      </c>
      <c r="P31" s="314" t="s">
        <v>22</v>
      </c>
      <c r="Q31" s="264"/>
      <c r="R31" s="118"/>
      <c r="S31" s="382"/>
    </row>
    <row r="32" spans="2:19">
      <c r="B32" s="381"/>
      <c r="C32" s="96"/>
      <c r="D32" s="96"/>
      <c r="E32" s="96"/>
      <c r="F32" s="96"/>
      <c r="G32" s="96"/>
      <c r="H32" s="96"/>
      <c r="I32" s="75" t="str">
        <f>F10</f>
        <v>Philips Bond</v>
      </c>
      <c r="J32" s="300">
        <f ca="1">INDEX(LINEST(OFFSET(INDEX('AC4'!$E:$E,2),0,MATCH($I32,'AC4'!$E$1:$AC$1,0)-1,$D$14),'AC2'!$X$2:$AC$109,1,),17-COLUMN())</f>
        <v>4.672318767694271E-3</v>
      </c>
      <c r="K32" s="76">
        <f ca="1">INDEX(LINEST(OFFSET(INDEX('AC4'!$E:$E,2),0,MATCH($I32,'AC4'!$E$1:$AC$1,0)-1,$D$14),'AC2'!$X$2:$AC$109,1,),17-COLUMN())</f>
        <v>-0.38733213417953222</v>
      </c>
      <c r="L32" s="76">
        <f ca="1">INDEX(LINEST(OFFSET(INDEX('AC4'!$E:$E,2),0,MATCH($I32,'AC4'!$E$1:$AC$1,0)-1,$D$14),'AC2'!$X$2:$AC$109,1,),17-COLUMN())</f>
        <v>-3.3641186586014879E-2</v>
      </c>
      <c r="M32" s="76">
        <f ca="1">INDEX(LINEST(OFFSET(INDEX('AC4'!$E:$E,2),0,MATCH($I32,'AC4'!$E$1:$AC$1,0)-1,$D$14),'AC2'!$X$2:$AC$109,1,),17-COLUMN())</f>
        <v>-0.24603216909618952</v>
      </c>
      <c r="N32" s="76">
        <f ca="1">INDEX(LINEST(OFFSET(INDEX('AC4'!$E:$E,2),0,MATCH($I32,'AC4'!$E$1:$AC$1,0)-1,$D$14),'AC2'!$X$2:$AC$109,1,),17-COLUMN())</f>
        <v>0.84630933561768762</v>
      </c>
      <c r="O32" s="76">
        <f ca="1">INDEX(LINEST(OFFSET(INDEX('AC4'!$E:$E,2),0,MATCH($I32,'AC4'!$E$1:$AC$1,0)-1,$D$14),'AC2'!$X$2:$AC$109,1,),17-COLUMN())</f>
        <v>0.63262836342600703</v>
      </c>
      <c r="P32" s="316">
        <f ca="1">INDEX(LINEST(OFFSET(INDEX('AC4'!$E:$E,2),0,MATCH($I32,'AC4'!$E$1:$AC$1,0)-1,$D$14),'AC2'!$X$2:$AC$109,1,),17-COLUMN())</f>
        <v>-0.12498736259259137</v>
      </c>
      <c r="Q32" s="76"/>
      <c r="R32" s="108"/>
      <c r="S32" s="382"/>
    </row>
    <row r="33" spans="2:19" ht="15.75" thickBot="1">
      <c r="B33" s="381"/>
      <c r="C33" s="96"/>
      <c r="D33" s="96"/>
      <c r="E33" s="96"/>
      <c r="F33" s="96"/>
      <c r="G33" s="96"/>
      <c r="H33" s="96"/>
      <c r="I33" s="101" t="s">
        <v>222</v>
      </c>
      <c r="J33" s="299">
        <f ca="1">_xlfn.T.DIST.2T(ABS(J32/INDEX(LINEST(OFFSET(INDEX('AC4'!$E:$E,2),0,MATCH($I32,'AC4'!$E$1:$AC$1,0)-1,$D$14),'AC2'!$X$2:$AC$109,1,1),2,17-COLUMN())),INDEX(LINEST(OFFSET(INDEX('AC4'!$E:$E,2),0,MATCH($I32,'AC4'!$E$1:$AC$1,0)-1,$D$14),'AC2'!$X$2:$AC$109,1,1),4,2))</f>
        <v>9.3314746097324652E-3</v>
      </c>
      <c r="K33" s="74">
        <f ca="1">_xlfn.T.DIST.2T(ABS(K32/INDEX(LINEST(OFFSET(INDEX('AC4'!$E:$E,2),0,MATCH($I32,'AC4'!$E$1:$AC$1,0)-1,$D$14),'AC2'!$X$2:$AC$109,1,1),2,17-COLUMN())),INDEX(LINEST(OFFSET(INDEX('AC4'!$E:$E,2),0,MATCH($I32,'AC4'!$E$1:$AC$1,0)-1,$D$14),'AC2'!$X$2:$AC$109,1,1),4,2))</f>
        <v>8.007981869507312E-8</v>
      </c>
      <c r="L33" s="74">
        <f ca="1">_xlfn.T.DIST.2T(ABS(L32/INDEX(LINEST(OFFSET(INDEX('AC4'!$E:$E,2),0,MATCH($I32,'AC4'!$E$1:$AC$1,0)-1,$D$14),'AC2'!$X$2:$AC$109,1,1),2,17-COLUMN())),INDEX(LINEST(OFFSET(INDEX('AC4'!$E:$E,2),0,MATCH($I32,'AC4'!$E$1:$AC$1,0)-1,$D$14),'AC2'!$X$2:$AC$109,1,1),4,2))</f>
        <v>0.79045683060038563</v>
      </c>
      <c r="M33" s="74">
        <f ca="1">_xlfn.T.DIST.2T(ABS(M32/INDEX(LINEST(OFFSET(INDEX('AC4'!$E:$E,2),0,MATCH($I32,'AC4'!$E$1:$AC$1,0)-1,$D$14),'AC2'!$X$2:$AC$109,1,1),2,17-COLUMN())),INDEX(LINEST(OFFSET(INDEX('AC4'!$E:$E,2),0,MATCH($I32,'AC4'!$E$1:$AC$1,0)-1,$D$14),'AC2'!$X$2:$AC$109,1,1),4,2))</f>
        <v>2.6890155741460205E-2</v>
      </c>
      <c r="N33" s="74">
        <f ca="1">_xlfn.T.DIST.2T(ABS(N32/INDEX(LINEST(OFFSET(INDEX('AC4'!$E:$E,2),0,MATCH($I32,'AC4'!$E$1:$AC$1,0)-1,$D$14),'AC2'!$X$2:$AC$109,1,1),2,17-COLUMN())),INDEX(LINEST(OFFSET(INDEX('AC4'!$E:$E,2),0,MATCH($I32,'AC4'!$E$1:$AC$1,0)-1,$D$14),'AC2'!$X$2:$AC$109,1,1),4,2))</f>
        <v>4.6264162631872515E-7</v>
      </c>
      <c r="O33" s="74">
        <f ca="1">_xlfn.T.DIST.2T(ABS(O32/INDEX(LINEST(OFFSET(INDEX('AC4'!$E:$E,2),0,MATCH($I32,'AC4'!$E$1:$AC$1,0)-1,$D$14),'AC2'!$X$2:$AC$109,1,1),2,17-COLUMN())),INDEX(LINEST(OFFSET(INDEX('AC4'!$E:$E,2),0,MATCH($I32,'AC4'!$E$1:$AC$1,0)-1,$D$14),'AC2'!$X$2:$AC$109,1,1),4,2))</f>
        <v>6.9826406324758703E-3</v>
      </c>
      <c r="P33" s="315">
        <f ca="1">_xlfn.T.DIST.2T(ABS(P32/INDEX(LINEST(OFFSET(INDEX('AC4'!$E:$E,2),0,MATCH($I32,'AC4'!$E$1:$AC$1,0)-1,$D$14),'AC2'!$X$2:$AC$109,1,1),2,17-COLUMN())),INDEX(LINEST(OFFSET(INDEX('AC4'!$E:$E,2),0,MATCH($I32,'AC4'!$E$1:$AC$1,0)-1,$D$14),'AC2'!$X$2:$AC$109,1,1),4,2))</f>
        <v>0.2355616149260964</v>
      </c>
      <c r="Q33" s="74"/>
      <c r="R33" s="109"/>
      <c r="S33" s="382"/>
    </row>
    <row r="34" spans="2:19">
      <c r="B34" s="381"/>
      <c r="C34" s="96"/>
      <c r="D34" s="96"/>
      <c r="E34" s="96"/>
      <c r="F34" s="96"/>
      <c r="G34" s="96"/>
      <c r="H34" s="96"/>
      <c r="I34" s="78" t="str">
        <f>F11</f>
        <v>IBM Bond</v>
      </c>
      <c r="J34" s="302">
        <f ca="1">INDEX(LINEST(OFFSET(INDEX('AC4'!$E:$E,2),0,MATCH($I34,'AC4'!$E$1:$AC$1,0)-1,$D$14),'AC2'!$X$2:$AC$109,1,),17-COLUMN())</f>
        <v>4.5422603941682538E-3</v>
      </c>
      <c r="K34" s="79">
        <f ca="1">INDEX(LINEST(OFFSET(INDEX('AC4'!$E:$E,2),0,MATCH($I34,'AC4'!$E$1:$AC$1,0)-1,$D$14),'AC2'!$X$2:$AC$109,1,),17-COLUMN())</f>
        <v>-0.45642050946355478</v>
      </c>
      <c r="L34" s="79">
        <f ca="1">INDEX(LINEST(OFFSET(INDEX('AC4'!$E:$E,2),0,MATCH($I34,'AC4'!$E$1:$AC$1,0)-1,$D$14),'AC2'!$X$2:$AC$109,1,),17-COLUMN())</f>
        <v>-0.20899905600315974</v>
      </c>
      <c r="M34" s="79">
        <f ca="1">INDEX(LINEST(OFFSET(INDEX('AC4'!$E:$E,2),0,MATCH($I34,'AC4'!$E$1:$AC$1,0)-1,$D$14),'AC2'!$X$2:$AC$109,1,),17-COLUMN())</f>
        <v>-0.63991625027766164</v>
      </c>
      <c r="N34" s="79">
        <f ca="1">INDEX(LINEST(OFFSET(INDEX('AC4'!$E:$E,2),0,MATCH($I34,'AC4'!$E$1:$AC$1,0)-1,$D$14),'AC2'!$X$2:$AC$109,1,),17-COLUMN())</f>
        <v>0.63158006818822754</v>
      </c>
      <c r="O34" s="79">
        <f ca="1">INDEX(LINEST(OFFSET(INDEX('AC4'!$E:$E,2),0,MATCH($I34,'AC4'!$E$1:$AC$1,0)-1,$D$14),'AC2'!$X$2:$AC$109,1,),17-COLUMN())</f>
        <v>0.83925037795736845</v>
      </c>
      <c r="P34" s="426">
        <f ca="1">INDEX(LINEST(OFFSET(INDEX('AC4'!$E:$E,2),0,MATCH($I34,'AC4'!$E$1:$AC$1,0)-1,$D$14),'AC2'!$X$2:$AC$109,1,),17-COLUMN())</f>
        <v>0.19970923689173462</v>
      </c>
      <c r="Q34" s="265"/>
      <c r="R34" s="307"/>
      <c r="S34" s="382"/>
    </row>
    <row r="35" spans="2:19" ht="15.75" thickBot="1">
      <c r="B35" s="381"/>
      <c r="C35" s="96"/>
      <c r="D35" s="96"/>
      <c r="E35" s="96"/>
      <c r="F35" s="96"/>
      <c r="G35" s="96"/>
      <c r="H35" s="96"/>
      <c r="I35" s="262" t="s">
        <v>222</v>
      </c>
      <c r="J35" s="303">
        <f ca="1">_xlfn.T.DIST.2T(ABS(J34/INDEX(LINEST(OFFSET(INDEX('AC4'!$E:$E,2),0,MATCH($I34,'AC4'!$E$1:$AC$1,0)-1,$D$14),'AC2'!$X$2:$AC$109,1,1),2,17-COLUMN())),INDEX(LINEST(OFFSET(INDEX('AC4'!$E:$E,2),0,MATCH($I34,'AC4'!$E$1:$AC$1,0)-1,$D$14),'AC2'!$X$2:$AC$109,1,1),4,2))</f>
        <v>4.3551554005968031E-2</v>
      </c>
      <c r="K35" s="263">
        <f ca="1">_xlfn.T.DIST.2T(ABS(K34/INDEX(LINEST(OFFSET(INDEX('AC4'!$E:$E,2),0,MATCH($I34,'AC4'!$E$1:$AC$1,0)-1,$D$14),'AC2'!$X$2:$AC$109,1,1),2,17-COLUMN())),INDEX(LINEST(OFFSET(INDEX('AC4'!$E:$E,2),0,MATCH($I34,'AC4'!$E$1:$AC$1,0)-1,$D$14),'AC2'!$X$2:$AC$109,1,1),4,2))</f>
        <v>4.2172870953793922E-7</v>
      </c>
      <c r="L35" s="263">
        <f ca="1">_xlfn.T.DIST.2T(ABS(L34/INDEX(LINEST(OFFSET(INDEX('AC4'!$E:$E,2),0,MATCH($I34,'AC4'!$E$1:$AC$1,0)-1,$D$14),'AC2'!$X$2:$AC$109,1,1),2,17-COLUMN())),INDEX(LINEST(OFFSET(INDEX('AC4'!$E:$E,2),0,MATCH($I34,'AC4'!$E$1:$AC$1,0)-1,$D$14),'AC2'!$X$2:$AC$109,1,1),4,2))</f>
        <v>0.19215604338880862</v>
      </c>
      <c r="M35" s="263">
        <f ca="1">_xlfn.T.DIST.2T(ABS(M34/INDEX(LINEST(OFFSET(INDEX('AC4'!$E:$E,2),0,MATCH($I34,'AC4'!$E$1:$AC$1,0)-1,$D$14),'AC2'!$X$2:$AC$109,1,1),2,17-COLUMN())),INDEX(LINEST(OFFSET(INDEX('AC4'!$E:$E,2),0,MATCH($I34,'AC4'!$E$1:$AC$1,0)-1,$D$14),'AC2'!$X$2:$AC$109,1,1),4,2))</f>
        <v>1.0742314993538182E-5</v>
      </c>
      <c r="N35" s="263">
        <f ca="1">_xlfn.T.DIST.2T(ABS(N34/INDEX(LINEST(OFFSET(INDEX('AC4'!$E:$E,2),0,MATCH($I34,'AC4'!$E$1:$AC$1,0)-1,$D$14),'AC2'!$X$2:$AC$109,1,1),2,17-COLUMN())),INDEX(LINEST(OFFSET(INDEX('AC4'!$E:$E,2),0,MATCH($I34,'AC4'!$E$1:$AC$1,0)-1,$D$14),'AC2'!$X$2:$AC$109,1,1),4,2))</f>
        <v>1.8891745455969884E-3</v>
      </c>
      <c r="O35" s="263">
        <f ca="1">_xlfn.T.DIST.2T(ABS(O34/INDEX(LINEST(OFFSET(INDEX('AC4'!$E:$E,2),0,MATCH($I34,'AC4'!$E$1:$AC$1,0)-1,$D$14),'AC2'!$X$2:$AC$109,1,1),2,17-COLUMN())),INDEX(LINEST(OFFSET(INDEX('AC4'!$E:$E,2),0,MATCH($I34,'AC4'!$E$1:$AC$1,0)-1,$D$14),'AC2'!$X$2:$AC$109,1,1),4,2))</f>
        <v>4.6032117483930206E-3</v>
      </c>
      <c r="P35" s="427">
        <f ca="1">_xlfn.T.DIST.2T(ABS(P34/INDEX(LINEST(OFFSET(INDEX('AC4'!$E:$E,2),0,MATCH($I34,'AC4'!$E$1:$AC$1,0)-1,$D$14),'AC2'!$X$2:$AC$109,1,1),2,17-COLUMN())),INDEX(LINEST(OFFSET(INDEX('AC4'!$E:$E,2),0,MATCH($I34,'AC4'!$E$1:$AC$1,0)-1,$D$14),'AC2'!$X$2:$AC$109,1,1),4,2))</f>
        <v>0.13353325194324672</v>
      </c>
      <c r="Q35" s="266"/>
      <c r="R35" s="313"/>
      <c r="S35" s="382"/>
    </row>
    <row r="36" spans="2:19" ht="15.75" thickBot="1">
      <c r="B36" s="381"/>
      <c r="C36" s="96"/>
      <c r="D36" s="96"/>
      <c r="E36" s="96"/>
      <c r="F36" s="96"/>
      <c r="G36" s="96"/>
      <c r="H36" s="96"/>
      <c r="I36" s="59" t="s">
        <v>211</v>
      </c>
      <c r="J36" s="301" t="s">
        <v>11</v>
      </c>
      <c r="K36" s="60" t="s">
        <v>158</v>
      </c>
      <c r="L36" s="60" t="s">
        <v>145</v>
      </c>
      <c r="M36" s="60" t="s">
        <v>146</v>
      </c>
      <c r="N36" s="60" t="s">
        <v>147</v>
      </c>
      <c r="O36" s="60" t="s">
        <v>148</v>
      </c>
      <c r="P36" s="253" t="s">
        <v>149</v>
      </c>
      <c r="Q36" s="264" t="s">
        <v>150</v>
      </c>
      <c r="R36" s="312" t="s">
        <v>22</v>
      </c>
      <c r="S36" s="382"/>
    </row>
    <row r="37" spans="2:19">
      <c r="B37" s="381"/>
      <c r="C37" s="96"/>
      <c r="D37" s="96"/>
      <c r="E37" s="96"/>
      <c r="F37" s="96"/>
      <c r="G37" s="96"/>
      <c r="H37" s="96"/>
      <c r="I37" s="75" t="str">
        <f>F10</f>
        <v>Philips Bond</v>
      </c>
      <c r="J37" s="300">
        <f ca="1">INDEX(LINEST(OFFSET(INDEX('AC4'!$E:$E,2),0,MATCH($I37,'AC4'!$E$1:$AC$1,0)-1,$D$14),'AC2'!$N$2:$U$109,1,),19-COLUMN())</f>
        <v>2.7846139576090264E-3</v>
      </c>
      <c r="K37" s="76">
        <f ca="1">INDEX(LINEST(OFFSET(INDEX('AC4'!$E:$E,2),0,MATCH($I37,'AC4'!$E$1:$AC$1,0)-1,$D$14),'AC2'!$N$2:$U$109,1,),19-COLUMN())</f>
        <v>-9.6015184902885506E-2</v>
      </c>
      <c r="L37" s="76">
        <f ca="1">INDEX(LINEST(OFFSET(INDEX('AC4'!$E:$E,2),0,MATCH($I37,'AC4'!$E$1:$AC$1,0)-1,$D$14),'AC2'!$N$2:$U$109,1,),19-COLUMN())</f>
        <v>-1.9189813045165325</v>
      </c>
      <c r="M37" s="76">
        <f ca="1">INDEX(LINEST(OFFSET(INDEX('AC4'!$E:$E,2),0,MATCH($I37,'AC4'!$E$1:$AC$1,0)-1,$D$14),'AC2'!$N$2:$U$109,1,),19-COLUMN())</f>
        <v>1.839939587576076</v>
      </c>
      <c r="N37" s="76">
        <f ca="1">INDEX(LINEST(OFFSET(INDEX('AC4'!$E:$E,2),0,MATCH($I37,'AC4'!$E$1:$AC$1,0)-1,$D$14),'AC2'!$N$2:$U$109,1,),19-COLUMN())</f>
        <v>-1.3010679884289138</v>
      </c>
      <c r="O37" s="76">
        <f ca="1">INDEX(LINEST(OFFSET(INDEX('AC4'!$E:$E,2),0,MATCH($I37,'AC4'!$E$1:$AC$1,0)-1,$D$14),'AC2'!$N$2:$U$109,1,),19-COLUMN())</f>
        <v>1.4321666498246024</v>
      </c>
      <c r="P37" s="76">
        <f ca="1">INDEX(LINEST(OFFSET(INDEX('AC4'!$E:$E,2),0,MATCH($I37,'AC4'!$E$1:$AC$1,0)-1,$D$14),'AC2'!$N$2:$U$109,1,),19-COLUMN())</f>
        <v>-0.241591534373711</v>
      </c>
      <c r="Q37" s="76">
        <f ca="1">INDEX(LINEST(OFFSET(INDEX('AC4'!$E:$E,2),0,MATCH($I37,'AC4'!$E$1:$AC$1,0)-1,$D$14),'AC2'!$N$2:$U$109,1,),19-COLUMN())</f>
        <v>0.52874115127205723</v>
      </c>
      <c r="R37" s="309">
        <f ca="1">INDEX(LINEST(OFFSET(INDEX('AC4'!$E:$E,2),0,MATCH($I37,'AC4'!$E$1:$AC$1,0)-1,$D$14),'AC2'!$N$2:$U$109,1,),19-COLUMN())</f>
        <v>-3.6932491315725492E-2</v>
      </c>
      <c r="S37" s="382"/>
    </row>
    <row r="38" spans="2:19" ht="15.75" thickBot="1">
      <c r="B38" s="381"/>
      <c r="C38" s="96"/>
      <c r="D38" s="96"/>
      <c r="E38" s="96"/>
      <c r="F38" s="96"/>
      <c r="G38" s="96"/>
      <c r="H38" s="96"/>
      <c r="I38" s="101" t="s">
        <v>222</v>
      </c>
      <c r="J38" s="299">
        <f ca="1">_xlfn.T.DIST.2T(ABS(J37/INDEX(LINEST(OFFSET(INDEX('AC4'!$E:$E,2),0,MATCH($I37,'AC4'!$E$1:$AC$1,0)-1,$D$14),'AC2'!$N$2:$U$109,1,1),2,19-COLUMN())),INDEX(LINEST(OFFSET(INDEX('AC4'!$E:$E,2),0,MATCH($I37,'AC4'!$E$1:$AC$1,0)-1,$D$14),'AC2'!$N$2:$U$109,1,1),4,2))</f>
        <v>4.6291582498045353E-2</v>
      </c>
      <c r="K38" s="74">
        <f ca="1">_xlfn.T.DIST.2T(ABS(K37/INDEX(LINEST(OFFSET(INDEX('AC4'!$E:$E,2),0,MATCH($I37,'AC4'!$E$1:$AC$1,0)-1,$D$14),'AC2'!$N$2:$U$109,1,1),2,19-COLUMN())),INDEX(LINEST(OFFSET(INDEX('AC4'!$E:$E,2),0,MATCH($I37,'AC4'!$E$1:$AC$1,0)-1,$D$14),'AC2'!$N$2:$U$109,1,1),4,2))</f>
        <v>0.18875234277758637</v>
      </c>
      <c r="L38" s="74">
        <f ca="1">_xlfn.T.DIST.2T(ABS(L37/INDEX(LINEST(OFFSET(INDEX('AC4'!$E:$E,2),0,MATCH($I37,'AC4'!$E$1:$AC$1,0)-1,$D$14),'AC2'!$N$2:$U$109,1,1),2,19-COLUMN())),INDEX(LINEST(OFFSET(INDEX('AC4'!$E:$E,2),0,MATCH($I37,'AC4'!$E$1:$AC$1,0)-1,$D$14),'AC2'!$N$2:$U$109,1,1),4,2))</f>
        <v>3.4450695064965148E-2</v>
      </c>
      <c r="M38" s="74">
        <f ca="1">_xlfn.T.DIST.2T(ABS(M37/INDEX(LINEST(OFFSET(INDEX('AC4'!$E:$E,2),0,MATCH($I37,'AC4'!$E$1:$AC$1,0)-1,$D$14),'AC2'!$N$2:$U$109,1,1),2,19-COLUMN())),INDEX(LINEST(OFFSET(INDEX('AC4'!$E:$E,2),0,MATCH($I37,'AC4'!$E$1:$AC$1,0)-1,$D$14),'AC2'!$N$2:$U$109,1,1),4,2))</f>
        <v>0.195375174194198</v>
      </c>
      <c r="N38" s="74">
        <f ca="1">_xlfn.T.DIST.2T(ABS(N37/INDEX(LINEST(OFFSET(INDEX('AC4'!$E:$E,2),0,MATCH($I37,'AC4'!$E$1:$AC$1,0)-1,$D$14),'AC2'!$N$2:$U$109,1,1),2,19-COLUMN())),INDEX(LINEST(OFFSET(INDEX('AC4'!$E:$E,2),0,MATCH($I37,'AC4'!$E$1:$AC$1,0)-1,$D$14),'AC2'!$N$2:$U$109,1,1),4,2))</f>
        <v>0.1787057559792585</v>
      </c>
      <c r="O38" s="74">
        <f ca="1">_xlfn.T.DIST.2T(ABS(O37/INDEX(LINEST(OFFSET(INDEX('AC4'!$E:$E,2),0,MATCH($I37,'AC4'!$E$1:$AC$1,0)-1,$D$14),'AC2'!$N$2:$U$109,1,1),2,19-COLUMN())),INDEX(LINEST(OFFSET(INDEX('AC4'!$E:$E,2),0,MATCH($I37,'AC4'!$E$1:$AC$1,0)-1,$D$14),'AC2'!$N$2:$U$109,1,1),4,2))</f>
        <v>3.7436588635068944E-3</v>
      </c>
      <c r="P38" s="74">
        <f ca="1">_xlfn.T.DIST.2T(ABS(P37/INDEX(LINEST(OFFSET(INDEX('AC4'!$E:$E,2),0,MATCH($I37,'AC4'!$E$1:$AC$1,0)-1,$D$14),'AC2'!$N$2:$U$109,1,1),2,19-COLUMN())),INDEX(LINEST(OFFSET(INDEX('AC4'!$E:$E,2),0,MATCH($I37,'AC4'!$E$1:$AC$1,0)-1,$D$14),'AC2'!$N$2:$U$109,1,1),4,2))</f>
        <v>0.23646170561475402</v>
      </c>
      <c r="Q38" s="74">
        <f ca="1">_xlfn.T.DIST.2T(ABS(Q37/INDEX(LINEST(OFFSET(INDEX('AC4'!$E:$E,2),0,MATCH($I37,'AC4'!$E$1:$AC$1,0)-1,$D$14),'AC2'!$N$2:$U$109,1,1),2,19-COLUMN())),INDEX(LINEST(OFFSET(INDEX('AC4'!$E:$E,2),0,MATCH($I37,'AC4'!$E$1:$AC$1,0)-1,$D$14),'AC2'!$N$2:$U$109,1,1),4,2))</f>
        <v>3.1131238972366658E-2</v>
      </c>
      <c r="R38" s="310">
        <f ca="1">_xlfn.T.DIST.2T(ABS(R37/INDEX(LINEST(OFFSET(INDEX('AC4'!$E:$E,2),0,MATCH($I37,'AC4'!$E$1:$AC$1,0)-1,$D$14),'AC2'!$N$2:$U$109,1,1),2,19-COLUMN())),INDEX(LINEST(OFFSET(INDEX('AC4'!$E:$E,2),0,MATCH($I37,'AC4'!$E$1:$AC$1,0)-1,$D$14),'AC2'!$N$2:$U$109,1,1),4,2))</f>
        <v>0.65209162814482846</v>
      </c>
      <c r="S38" s="382"/>
    </row>
    <row r="39" spans="2:19">
      <c r="B39" s="381"/>
      <c r="C39" s="96"/>
      <c r="D39" s="96"/>
      <c r="E39" s="96"/>
      <c r="F39" s="96"/>
      <c r="G39" s="96"/>
      <c r="H39" s="96"/>
      <c r="I39" s="78" t="str">
        <f>F11</f>
        <v>IBM Bond</v>
      </c>
      <c r="J39" s="302">
        <f ca="1">INDEX(LINEST(OFFSET(INDEX('AC4'!$E:$E,2),0,MATCH($I39,'AC4'!$E$1:$AC$1,0)-1,$D$14),'AC2'!$N$2:$U$109,1,),19-COLUMN())</f>
        <v>4.0068531856069824E-3</v>
      </c>
      <c r="K39" s="79">
        <f ca="1">INDEX(LINEST(OFFSET(INDEX('AC4'!$E:$E,2),0,MATCH($I39,'AC4'!$E$1:$AC$1,0)-1,$D$14),'AC2'!$N$2:$U$109,1,),19-COLUMN())</f>
        <v>-8.517112464199568E-3</v>
      </c>
      <c r="L39" s="79">
        <f ca="1">INDEX(LINEST(OFFSET(INDEX('AC4'!$E:$E,2),0,MATCH($I39,'AC4'!$E$1:$AC$1,0)-1,$D$14),'AC2'!$N$2:$U$109,1,),19-COLUMN())</f>
        <v>0.19958150812160216</v>
      </c>
      <c r="M39" s="79">
        <f ca="1">INDEX(LINEST(OFFSET(INDEX('AC4'!$E:$E,2),0,MATCH($I39,'AC4'!$E$1:$AC$1,0)-1,$D$14),'AC2'!$N$2:$U$109,1,),19-COLUMN())</f>
        <v>-3.3973810514459379</v>
      </c>
      <c r="N39" s="79">
        <f ca="1">INDEX(LINEST(OFFSET(INDEX('AC4'!$E:$E,2),0,MATCH($I39,'AC4'!$E$1:$AC$1,0)-1,$D$14),'AC2'!$N$2:$U$109,1,),19-COLUMN())</f>
        <v>1.2000041710396081</v>
      </c>
      <c r="O39" s="79">
        <f ca="1">INDEX(LINEST(OFFSET(INDEX('AC4'!$E:$E,2),0,MATCH($I39,'AC4'!$E$1:$AC$1,0)-1,$D$14),'AC2'!$N$2:$U$109,1,),19-COLUMN())</f>
        <v>2.1189926862639408</v>
      </c>
      <c r="P39" s="79">
        <f ca="1">INDEX(LINEST(OFFSET(INDEX('AC4'!$E:$E,2),0,MATCH($I39,'AC4'!$E$1:$AC$1,0)-1,$D$14),'AC2'!$N$2:$U$109,1,),19-COLUMN())</f>
        <v>-0.66716661664538779</v>
      </c>
      <c r="Q39" s="265">
        <f ca="1">INDEX(LINEST(OFFSET(INDEX('AC4'!$E:$E,2),0,MATCH($I39,'AC4'!$E$1:$AC$1,0)-1,$D$14),'AC2'!$N$2:$U$109,1,),19-COLUMN())</f>
        <v>0.37433201985328141</v>
      </c>
      <c r="R39" s="307">
        <f ca="1">INDEX(LINEST(OFFSET(INDEX('AC4'!$E:$E,2),0,MATCH($I39,'AC4'!$E$1:$AC$1,0)-1,$D$14),'AC2'!$N$2:$U$109,1,),19-COLUMN())</f>
        <v>0.17885230723994683</v>
      </c>
      <c r="S39" s="382"/>
    </row>
    <row r="40" spans="2:19" ht="15.75" thickBot="1">
      <c r="B40" s="381"/>
      <c r="C40" s="96"/>
      <c r="D40" s="96"/>
      <c r="E40" s="96"/>
      <c r="F40" s="96"/>
      <c r="G40" s="96"/>
      <c r="H40" s="96"/>
      <c r="I40" s="262" t="s">
        <v>222</v>
      </c>
      <c r="J40" s="303">
        <f ca="1">_xlfn.T.DIST.2T(ABS(J39/INDEX(LINEST(OFFSET(INDEX('AC4'!$E:$E,2),0,MATCH($I39,'AC4'!$E$1:$AC$1,0)-1,$D$14),'AC2'!$N$2:$U$109,1,1),2,19-COLUMN())),INDEX(LINEST(OFFSET(INDEX('AC4'!$E:$E,2),0,MATCH($I39,'AC4'!$E$1:$AC$1,0)-1,$D$14),'AC2'!$N$2:$U$109,1,1),4,2))</f>
        <v>3.2150326053821981E-2</v>
      </c>
      <c r="K40" s="263">
        <f ca="1">_xlfn.T.DIST.2T(ABS(K39/INDEX(LINEST(OFFSET(INDEX('AC4'!$E:$E,2),0,MATCH($I39,'AC4'!$E$1:$AC$1,0)-1,$D$14),'AC2'!$N$2:$U$109,1,1),2,19-COLUMN())),INDEX(LINEST(OFFSET(INDEX('AC4'!$E:$E,2),0,MATCH($I39,'AC4'!$E$1:$AC$1,0)-1,$D$14),'AC2'!$N$2:$U$109,1,1),4,2))</f>
        <v>0.93016858539884462</v>
      </c>
      <c r="L40" s="263">
        <f ca="1">_xlfn.T.DIST.2T(ABS(L39/INDEX(LINEST(OFFSET(INDEX('AC4'!$E:$E,2),0,MATCH($I39,'AC4'!$E$1:$AC$1,0)-1,$D$14),'AC2'!$N$2:$U$109,1,1),2,19-COLUMN())),INDEX(LINEST(OFFSET(INDEX('AC4'!$E:$E,2),0,MATCH($I39,'AC4'!$E$1:$AC$1,0)-1,$D$14),'AC2'!$N$2:$U$109,1,1),4,2))</f>
        <v>0.86778195732939523</v>
      </c>
      <c r="M40" s="263">
        <f ca="1">_xlfn.T.DIST.2T(ABS(M39/INDEX(LINEST(OFFSET(INDEX('AC4'!$E:$E,2),0,MATCH($I39,'AC4'!$E$1:$AC$1,0)-1,$D$14),'AC2'!$N$2:$U$109,1,1),2,19-COLUMN())),INDEX(LINEST(OFFSET(INDEX('AC4'!$E:$E,2),0,MATCH($I39,'AC4'!$E$1:$AC$1,0)-1,$D$14),'AC2'!$N$2:$U$109,1,1),4,2))</f>
        <v>7.4669254758836595E-2</v>
      </c>
      <c r="N40" s="263">
        <f ca="1">_xlfn.T.DIST.2T(ABS(N39/INDEX(LINEST(OFFSET(INDEX('AC4'!$E:$E,2),0,MATCH($I39,'AC4'!$E$1:$AC$1,0)-1,$D$14),'AC2'!$N$2:$U$109,1,1),2,19-COLUMN())),INDEX(LINEST(OFFSET(INDEX('AC4'!$E:$E,2),0,MATCH($I39,'AC4'!$E$1:$AC$1,0)-1,$D$14),'AC2'!$N$2:$U$109,1,1),4,2))</f>
        <v>0.35213632344052082</v>
      </c>
      <c r="O40" s="263">
        <f ca="1">_xlfn.T.DIST.2T(ABS(O39/INDEX(LINEST(OFFSET(INDEX('AC4'!$E:$E,2),0,MATCH($I39,'AC4'!$E$1:$AC$1,0)-1,$D$14),'AC2'!$N$2:$U$109,1,1),2,19-COLUMN())),INDEX(LINEST(OFFSET(INDEX('AC4'!$E:$E,2),0,MATCH($I39,'AC4'!$E$1:$AC$1,0)-1,$D$14),'AC2'!$N$2:$U$109,1,1),4,2))</f>
        <v>1.3975041178053294E-3</v>
      </c>
      <c r="P40" s="263">
        <f ca="1">_xlfn.T.DIST.2T(ABS(P39/INDEX(LINEST(OFFSET(INDEX('AC4'!$E:$E,2),0,MATCH($I39,'AC4'!$E$1:$AC$1,0)-1,$D$14),'AC2'!$N$2:$U$109,1,1),2,19-COLUMN())),INDEX(LINEST(OFFSET(INDEX('AC4'!$E:$E,2),0,MATCH($I39,'AC4'!$E$1:$AC$1,0)-1,$D$14),'AC2'!$N$2:$U$109,1,1),4,2))</f>
        <v>1.5558102957410919E-2</v>
      </c>
      <c r="Q40" s="266">
        <f ca="1">_xlfn.T.DIST.2T(ABS(Q39/INDEX(LINEST(OFFSET(INDEX('AC4'!$E:$E,2),0,MATCH($I39,'AC4'!$E$1:$AC$1,0)-1,$D$14),'AC2'!$N$2:$U$109,1,1),2,19-COLUMN())),INDEX(LINEST(OFFSET(INDEX('AC4'!$E:$E,2),0,MATCH($I39,'AC4'!$E$1:$AC$1,0)-1,$D$14),'AC2'!$N$2:$U$109,1,1),4,2))</f>
        <v>0.249439734935232</v>
      </c>
      <c r="R40" s="313">
        <f ca="1">_xlfn.T.DIST.2T(ABS(R39/INDEX(LINEST(OFFSET(INDEX('AC4'!$E:$E,2),0,MATCH($I39,'AC4'!$E$1:$AC$1,0)-1,$D$14),'AC2'!$N$2:$U$109,1,1),2,19-COLUMN())),INDEX(LINEST(OFFSET(INDEX('AC4'!$E:$E,2),0,MATCH($I39,'AC4'!$E$1:$AC$1,0)-1,$D$14),'AC2'!$N$2:$U$109,1,1),4,2))</f>
        <v>0.10438952381157229</v>
      </c>
      <c r="S40" s="382"/>
    </row>
    <row r="41" spans="2:19">
      <c r="B41" s="381"/>
      <c r="C41" s="96"/>
      <c r="D41" s="96"/>
      <c r="E41" s="96"/>
      <c r="F41" s="96"/>
      <c r="G41" s="96"/>
      <c r="H41" s="96"/>
      <c r="I41" s="96"/>
      <c r="J41" s="96"/>
      <c r="K41" s="96"/>
      <c r="L41" s="95"/>
      <c r="M41" s="97"/>
      <c r="N41" s="97"/>
      <c r="O41" s="97"/>
      <c r="P41" s="97"/>
      <c r="Q41" s="97"/>
      <c r="R41" s="97"/>
      <c r="S41" s="382"/>
    </row>
    <row r="42" spans="2:19">
      <c r="B42" s="381"/>
      <c r="C42" s="96"/>
      <c r="D42" s="96"/>
      <c r="E42" s="96"/>
      <c r="F42" s="96"/>
      <c r="G42" s="96"/>
      <c r="H42" s="96"/>
      <c r="I42" s="96"/>
      <c r="J42" s="96"/>
      <c r="K42" s="99"/>
      <c r="L42" s="99"/>
      <c r="M42" s="99"/>
      <c r="N42" s="99"/>
      <c r="O42" s="99"/>
      <c r="P42" s="99"/>
      <c r="Q42" s="99"/>
      <c r="R42" s="99"/>
      <c r="S42" s="382"/>
    </row>
    <row r="43" spans="2:19">
      <c r="B43" s="381"/>
      <c r="C43" s="96"/>
      <c r="D43" s="96"/>
      <c r="E43" s="96"/>
      <c r="F43" s="96"/>
      <c r="G43" s="96"/>
      <c r="H43" s="96"/>
      <c r="I43" s="96"/>
      <c r="J43" s="96"/>
      <c r="K43" s="96"/>
      <c r="L43" s="95"/>
      <c r="M43" s="97"/>
      <c r="N43" s="100"/>
      <c r="O43" s="100"/>
      <c r="P43" s="100"/>
      <c r="Q43" s="100"/>
      <c r="R43" s="100"/>
      <c r="S43" s="382"/>
    </row>
    <row r="44" spans="2:19">
      <c r="B44" s="381"/>
      <c r="C44" s="96"/>
      <c r="D44" s="96"/>
      <c r="E44" s="96"/>
      <c r="F44" s="96"/>
      <c r="G44" s="96"/>
      <c r="H44" s="96"/>
      <c r="I44" s="96"/>
      <c r="J44" s="96"/>
      <c r="K44" s="96"/>
      <c r="L44" s="113"/>
      <c r="M44" s="113"/>
      <c r="N44" s="113"/>
      <c r="O44" s="113"/>
      <c r="P44" s="113"/>
      <c r="Q44" s="113"/>
      <c r="R44" s="113"/>
      <c r="S44" s="382"/>
    </row>
    <row r="45" spans="2:19">
      <c r="B45" s="381"/>
      <c r="C45" s="96"/>
      <c r="D45" s="96"/>
      <c r="E45" s="96"/>
      <c r="F45" s="96"/>
      <c r="G45" s="96"/>
      <c r="H45" s="96"/>
      <c r="I45" s="96"/>
      <c r="J45" s="96"/>
      <c r="K45" s="96"/>
      <c r="L45" s="113"/>
      <c r="M45" s="113"/>
      <c r="N45" s="113"/>
      <c r="O45" s="113"/>
      <c r="P45" s="113"/>
      <c r="Q45" s="113"/>
      <c r="R45" s="113"/>
      <c r="S45" s="382"/>
    </row>
    <row r="46" spans="2:19">
      <c r="B46" s="381"/>
      <c r="C46" s="96"/>
      <c r="D46" s="96"/>
      <c r="E46" s="96"/>
      <c r="F46" s="96"/>
      <c r="G46" s="96"/>
      <c r="H46" s="96"/>
      <c r="I46" s="113"/>
      <c r="J46" s="113"/>
      <c r="K46" s="113"/>
      <c r="L46" s="113"/>
      <c r="M46" s="113"/>
      <c r="N46" s="113"/>
      <c r="O46" s="113"/>
      <c r="P46" s="113"/>
      <c r="Q46" s="113"/>
      <c r="R46" s="113"/>
      <c r="S46" s="382"/>
    </row>
    <row r="47" spans="2:19">
      <c r="B47" s="381"/>
      <c r="C47" s="96"/>
      <c r="D47" s="96"/>
      <c r="E47" s="96"/>
      <c r="G47" s="96"/>
      <c r="H47" s="96"/>
      <c r="S47" s="382"/>
    </row>
    <row r="48" spans="2:19" ht="21.75" customHeight="1" thickBot="1">
      <c r="B48" s="393"/>
      <c r="C48" s="394"/>
      <c r="D48" s="394"/>
      <c r="E48" s="394"/>
      <c r="F48" s="394"/>
      <c r="G48" s="394"/>
      <c r="H48" s="394"/>
      <c r="I48" s="394"/>
      <c r="J48" s="394"/>
      <c r="K48" s="394"/>
      <c r="L48" s="34"/>
      <c r="M48" s="34"/>
      <c r="N48" s="34"/>
      <c r="O48" s="34"/>
      <c r="P48" s="34"/>
      <c r="Q48" s="34"/>
      <c r="R48" s="34"/>
      <c r="S48" s="395"/>
    </row>
    <row r="49" spans="2:8">
      <c r="B49" s="396"/>
      <c r="C49" s="396"/>
      <c r="D49" s="396"/>
      <c r="E49" s="396"/>
      <c r="G49" s="396"/>
      <c r="H49" s="396"/>
    </row>
  </sheetData>
  <sheetProtection algorithmName="SHA-512" hashValue="NbxYZPDVlriS+Z7a4jdkx1ZUphvBLElXoKxquAiuh7LFKoCgc0/XfyqpJGOHaRM/Gvg25O9GcyLNsIU529AcLw==" saltValue="4eWPzF0XOK0WhOT78HY4+Q==" spinCount="100000" sheet="1" objects="1" scenarios="1"/>
  <mergeCells count="6">
    <mergeCell ref="I30:R30"/>
    <mergeCell ref="F2:N4"/>
    <mergeCell ref="C9:D9"/>
    <mergeCell ref="I9:J9"/>
    <mergeCell ref="L9:N9"/>
    <mergeCell ref="L24:N24"/>
  </mergeCells>
  <dataValidations count="1">
    <dataValidation type="list" allowBlank="1" showInputMessage="1" showErrorMessage="1" sqref="J10">
      <formula1>"yes,no"</formula1>
    </dataValidation>
  </dataValidations>
  <pageMargins left="0.7" right="0.7" top="0.78740157499999996" bottom="0.78740157499999996" header="0.3" footer="0.3"/>
  <pageSetup paperSize="9" orientation="portrait" r:id="rId1"/>
  <ignoredErrors>
    <ignoredError sqref="J33:R36 J37:R38 J39:R40 N32:O32 Q32:R32"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'Asset Returns'!$Q$1:$R$1</xm:f>
          </x14:formula1>
          <xm:sqref>F10 F11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49"/>
  <sheetViews>
    <sheetView zoomScaleNormal="100" workbookViewId="0">
      <selection activeCell="J11" sqref="J11"/>
    </sheetView>
  </sheetViews>
  <sheetFormatPr baseColWidth="10" defaultRowHeight="15"/>
  <cols>
    <col min="1" max="1" width="5.7109375" style="33" customWidth="1"/>
    <col min="2" max="4" width="15.7109375" style="33" customWidth="1"/>
    <col min="5" max="5" width="11.42578125" style="33" customWidth="1"/>
    <col min="6" max="6" width="19.85546875" style="33" bestFit="1" customWidth="1"/>
    <col min="7" max="7" width="11.42578125" style="33" customWidth="1"/>
    <col min="8" max="8" width="15.7109375" style="33" customWidth="1"/>
    <col min="9" max="9" width="13.42578125" style="33" customWidth="1"/>
    <col min="10" max="10" width="11.42578125" style="33"/>
    <col min="11" max="11" width="9.42578125" style="33" customWidth="1"/>
    <col min="12" max="12" width="14.28515625" style="33" customWidth="1"/>
    <col min="13" max="13" width="11.42578125" style="33" customWidth="1"/>
    <col min="14" max="16" width="11.42578125" style="33"/>
    <col min="17" max="17" width="12.42578125" style="33" customWidth="1"/>
    <col min="18" max="18" width="11.42578125" style="33"/>
    <col min="19" max="19" width="3.7109375" style="33" customWidth="1"/>
    <col min="20" max="16384" width="11.42578125" style="33"/>
  </cols>
  <sheetData>
    <row r="2" spans="2:19" ht="15" customHeight="1">
      <c r="E2" s="113"/>
      <c r="F2" s="452"/>
      <c r="G2" s="452"/>
      <c r="H2" s="452"/>
      <c r="I2" s="452"/>
      <c r="J2" s="452"/>
      <c r="K2" s="452"/>
      <c r="L2" s="452"/>
      <c r="M2" s="452"/>
      <c r="N2" s="452"/>
      <c r="O2" s="113"/>
    </row>
    <row r="3" spans="2:19" ht="15" customHeight="1">
      <c r="E3" s="377"/>
      <c r="F3" s="452"/>
      <c r="G3" s="452"/>
      <c r="H3" s="452"/>
      <c r="I3" s="452"/>
      <c r="J3" s="452"/>
      <c r="K3" s="452"/>
      <c r="L3" s="452"/>
      <c r="M3" s="452"/>
      <c r="N3" s="452"/>
      <c r="O3" s="377"/>
    </row>
    <row r="4" spans="2:19" ht="15" customHeight="1">
      <c r="E4" s="113"/>
      <c r="F4" s="452"/>
      <c r="G4" s="452"/>
      <c r="H4" s="452"/>
      <c r="I4" s="452"/>
      <c r="J4" s="452"/>
      <c r="K4" s="452"/>
      <c r="L4" s="452"/>
      <c r="M4" s="452"/>
      <c r="N4" s="452"/>
      <c r="O4" s="113"/>
    </row>
    <row r="6" spans="2:19" ht="15.75" thickBot="1"/>
    <row r="7" spans="2:19" ht="19.5" thickBot="1">
      <c r="B7" s="378" t="s">
        <v>212</v>
      </c>
      <c r="C7" s="379"/>
      <c r="D7" s="379"/>
      <c r="E7" s="379"/>
      <c r="F7" s="379"/>
      <c r="G7" s="379"/>
      <c r="H7" s="379"/>
      <c r="I7" s="379"/>
      <c r="J7" s="379"/>
      <c r="K7" s="379"/>
      <c r="L7" s="379"/>
      <c r="M7" s="379"/>
      <c r="N7" s="379"/>
      <c r="O7" s="379"/>
      <c r="P7" s="379"/>
      <c r="Q7" s="379"/>
      <c r="R7" s="379"/>
      <c r="S7" s="380"/>
    </row>
    <row r="8" spans="2:19" ht="15.75" thickBot="1">
      <c r="B8" s="381"/>
      <c r="C8" s="96"/>
      <c r="D8" s="96"/>
      <c r="E8" s="96"/>
      <c r="F8" s="96"/>
      <c r="G8" s="96"/>
      <c r="H8" s="96"/>
      <c r="I8" s="96"/>
      <c r="J8" s="96"/>
      <c r="K8" s="96"/>
      <c r="L8" s="113"/>
      <c r="M8" s="113"/>
      <c r="N8" s="113"/>
      <c r="O8" s="113"/>
      <c r="P8" s="113"/>
      <c r="Q8" s="113"/>
      <c r="R8" s="113"/>
      <c r="S8" s="382"/>
    </row>
    <row r="9" spans="2:19" ht="15.75" thickBot="1">
      <c r="B9" s="383"/>
      <c r="C9" s="453" t="s">
        <v>4</v>
      </c>
      <c r="D9" s="454"/>
      <c r="E9" s="113"/>
      <c r="F9" s="384" t="s">
        <v>198</v>
      </c>
      <c r="G9" s="384" t="s">
        <v>261</v>
      </c>
      <c r="H9" s="397"/>
      <c r="I9" s="455" t="s">
        <v>204</v>
      </c>
      <c r="J9" s="456"/>
      <c r="K9" s="113"/>
      <c r="L9" s="449" t="s">
        <v>208</v>
      </c>
      <c r="M9" s="450"/>
      <c r="N9" s="177"/>
      <c r="O9" s="449" t="s">
        <v>153</v>
      </c>
      <c r="P9" s="457"/>
      <c r="Q9" s="458"/>
      <c r="R9" s="170"/>
      <c r="S9" s="382"/>
    </row>
    <row r="10" spans="2:19" ht="15.75" thickBot="1">
      <c r="B10" s="383"/>
      <c r="C10" s="371" t="s">
        <v>199</v>
      </c>
      <c r="D10" s="436" t="s">
        <v>3</v>
      </c>
      <c r="E10" s="113"/>
      <c r="F10" s="398" t="s">
        <v>24</v>
      </c>
      <c r="G10" s="402">
        <v>0.1</v>
      </c>
      <c r="H10" s="403"/>
      <c r="I10" s="404" t="s">
        <v>166</v>
      </c>
      <c r="J10" s="405" t="s">
        <v>297</v>
      </c>
      <c r="K10" s="113"/>
      <c r="L10" s="59" t="s">
        <v>206</v>
      </c>
      <c r="M10" s="172" t="s">
        <v>129</v>
      </c>
      <c r="N10" s="178"/>
      <c r="O10" s="59" t="s">
        <v>154</v>
      </c>
      <c r="P10" s="172" t="s">
        <v>235</v>
      </c>
      <c r="Q10" s="61" t="s">
        <v>236</v>
      </c>
      <c r="R10" s="95"/>
      <c r="S10" s="382"/>
    </row>
    <row r="11" spans="2:19" ht="15.75" thickBot="1">
      <c r="B11" s="383"/>
      <c r="C11" s="372" t="s">
        <v>200</v>
      </c>
      <c r="D11" s="437" t="s">
        <v>221</v>
      </c>
      <c r="E11" s="113"/>
      <c r="F11" s="398" t="s">
        <v>20</v>
      </c>
      <c r="G11" s="402">
        <v>0.1</v>
      </c>
      <c r="H11" s="403"/>
      <c r="I11" s="406" t="s">
        <v>237</v>
      </c>
      <c r="J11" s="407" t="s">
        <v>297</v>
      </c>
      <c r="K11" s="113"/>
      <c r="L11" s="65" t="s">
        <v>213</v>
      </c>
      <c r="M11" s="173">
        <f>AVERAGE('AC3'!G2:G109)</f>
        <v>7.0825139440205487E-3</v>
      </c>
      <c r="N11" s="179"/>
      <c r="O11" s="45" t="str">
        <f>F10</f>
        <v>BP</v>
      </c>
      <c r="P11" s="289">
        <f>INDEX(LINEST('AC3'!$O$2:$O$109,'AC2'!$F$2:$J$109,1,),17-COLUMN())</f>
        <v>0.9378377404978776</v>
      </c>
      <c r="Q11" s="294">
        <f>IF($G$16="yes",P11*G10,"")</f>
        <v>9.3783774049787771E-2</v>
      </c>
      <c r="R11" s="111"/>
      <c r="S11" s="382"/>
    </row>
    <row r="12" spans="2:19" ht="15.75" thickBot="1">
      <c r="B12" s="383"/>
      <c r="C12" s="372" t="s">
        <v>201</v>
      </c>
      <c r="D12" s="438">
        <v>40179</v>
      </c>
      <c r="E12" s="113"/>
      <c r="F12" s="398" t="s">
        <v>23</v>
      </c>
      <c r="G12" s="402">
        <v>0.3</v>
      </c>
      <c r="H12" s="387"/>
      <c r="I12" s="385" t="s">
        <v>234</v>
      </c>
      <c r="J12" s="96"/>
      <c r="K12" s="113"/>
      <c r="L12" s="39" t="s">
        <v>17</v>
      </c>
      <c r="M12" s="174">
        <f>MEDIAN('AC3'!G2:G109)</f>
        <v>9.3586633796803632E-3</v>
      </c>
      <c r="N12" s="180"/>
      <c r="O12" s="39" t="str">
        <f t="shared" ref="O12:O15" si="0">F11</f>
        <v>Tata Motors</v>
      </c>
      <c r="P12" s="290">
        <f>INDEX(LINEST('AC3'!$P$2:$P$109,'AC2'!$F$2:$J$109,1,),17-COLUMN())</f>
        <v>0.64097224418739052</v>
      </c>
      <c r="Q12" s="295">
        <f>IF($G$16="yes",P12*G11,"")</f>
        <v>6.4097224418739052E-2</v>
      </c>
      <c r="R12" s="112"/>
      <c r="S12" s="382"/>
    </row>
    <row r="13" spans="2:19" ht="15.75" thickBot="1">
      <c r="B13" s="383"/>
      <c r="C13" s="372" t="s">
        <v>202</v>
      </c>
      <c r="D13" s="438">
        <v>43465</v>
      </c>
      <c r="E13" s="113"/>
      <c r="F13" s="398" t="s">
        <v>25</v>
      </c>
      <c r="G13" s="402">
        <v>0.3</v>
      </c>
      <c r="H13" s="387"/>
      <c r="I13" s="385" t="s">
        <v>238</v>
      </c>
      <c r="J13" s="96"/>
      <c r="K13" s="113"/>
      <c r="L13" s="36" t="s">
        <v>8</v>
      </c>
      <c r="M13" s="175">
        <f>MIN('AC3'!G2:G109)</f>
        <v>-0.16975550428032873</v>
      </c>
      <c r="N13" s="179"/>
      <c r="O13" s="36" t="str">
        <f t="shared" si="0"/>
        <v>Vestas</v>
      </c>
      <c r="P13" s="291">
        <f>INDEX(LINEST('AC3'!$Q$2:$Q$109,'AC2'!$F$2:$J$109,1,),17-COLUMN())</f>
        <v>-2.1312105104673718</v>
      </c>
      <c r="Q13" s="296">
        <f>IF($G$16="yes",P13*G12,"")</f>
        <v>-0.63936315314021153</v>
      </c>
      <c r="R13" s="111"/>
      <c r="S13" s="382"/>
    </row>
    <row r="14" spans="2:19" ht="15.75" thickBot="1">
      <c r="B14" s="383"/>
      <c r="C14" s="373" t="s">
        <v>203</v>
      </c>
      <c r="D14" s="435">
        <f>DATEDIF(D12,D13,"M")+1</f>
        <v>108</v>
      </c>
      <c r="E14" s="113"/>
      <c r="F14" s="400" t="s">
        <v>18</v>
      </c>
      <c r="G14" s="428">
        <f>1-SUM(G10:G13)</f>
        <v>0.19999999999999996</v>
      </c>
      <c r="H14" s="387"/>
      <c r="I14" s="386"/>
      <c r="J14" s="389"/>
      <c r="K14" s="113"/>
      <c r="L14" s="39" t="s">
        <v>9</v>
      </c>
      <c r="M14" s="174">
        <f>MAX('AC3'!G2:G109)</f>
        <v>0.22479254044592381</v>
      </c>
      <c r="N14" s="180"/>
      <c r="O14" s="39" t="str">
        <f t="shared" si="0"/>
        <v>Toyota</v>
      </c>
      <c r="P14" s="290">
        <f>INDEX(LINEST('AC3'!$R$2:$R$109,'AC2'!$F$2:$J$109,1,),17-COLUMN())</f>
        <v>-0.78557102570241866</v>
      </c>
      <c r="Q14" s="295">
        <f>IF($G$16="yes",P14*G13,"")</f>
        <v>-0.23567130771072559</v>
      </c>
      <c r="R14" s="112"/>
      <c r="S14" s="382"/>
    </row>
    <row r="15" spans="2:19" ht="15.75" thickBot="1">
      <c r="B15" s="383"/>
      <c r="C15" s="388"/>
      <c r="D15" s="388"/>
      <c r="E15" s="113"/>
      <c r="F15" s="376" t="s">
        <v>220</v>
      </c>
      <c r="G15" s="408"/>
      <c r="H15" s="387"/>
      <c r="I15" s="386"/>
      <c r="J15" s="389"/>
      <c r="K15" s="113"/>
      <c r="L15" s="36" t="s">
        <v>214</v>
      </c>
      <c r="M15" s="175">
        <f>_xlfn.STDEV.S('AC3'!G2:G109)</f>
        <v>6.2209083824552661E-2</v>
      </c>
      <c r="N15" s="179"/>
      <c r="O15" s="204" t="str">
        <f t="shared" si="0"/>
        <v>IBM</v>
      </c>
      <c r="P15" s="292">
        <f>INDEX(LINEST('AC3'!$S$2:$S$109,'AC2'!$F$2:$J$109,1,),17-COLUMN())</f>
        <v>0.17519882647973573</v>
      </c>
      <c r="Q15" s="297">
        <f>IF($G$16="yes",P15*G14,"")</f>
        <v>3.5039765295947135E-2</v>
      </c>
      <c r="R15" s="111"/>
      <c r="S15" s="382"/>
    </row>
    <row r="16" spans="2:19" ht="15.75" customHeight="1" thickTop="1" thickBot="1">
      <c r="B16" s="383"/>
      <c r="C16" s="390"/>
      <c r="D16" s="390"/>
      <c r="E16" s="113"/>
      <c r="F16" s="374" t="s">
        <v>291</v>
      </c>
      <c r="G16" s="375" t="s">
        <v>297</v>
      </c>
      <c r="H16" s="390"/>
      <c r="I16" s="390"/>
      <c r="J16" s="96"/>
      <c r="K16" s="113"/>
      <c r="L16" s="39" t="s">
        <v>16</v>
      </c>
      <c r="M16" s="362">
        <f>AVERAGE('AC3'!N2:N109)/M15</f>
        <v>0.10938492817920391</v>
      </c>
      <c r="N16" s="180"/>
      <c r="O16" s="288" t="s">
        <v>129</v>
      </c>
      <c r="P16" s="293">
        <f>R34</f>
        <v>-0.68211369708646341</v>
      </c>
      <c r="Q16" s="298">
        <f>IF($G$16="yes",SUM(Q11:Q15),"")</f>
        <v>-0.68211369708646319</v>
      </c>
      <c r="R16" s="112"/>
      <c r="S16" s="382"/>
    </row>
    <row r="17" spans="2:19" ht="15.75" customHeight="1" thickBot="1">
      <c r="B17" s="383"/>
      <c r="C17" s="390"/>
      <c r="D17" s="409"/>
      <c r="E17" s="113"/>
      <c r="F17" s="385" t="s">
        <v>239</v>
      </c>
      <c r="G17" s="416"/>
      <c r="H17" s="96"/>
      <c r="I17" s="113"/>
      <c r="J17" s="113"/>
      <c r="K17" s="113"/>
      <c r="L17" s="36" t="s">
        <v>215</v>
      </c>
      <c r="M17" s="175">
        <f>_xlfn.PERCENTILE.INC('AC3'!G2:G109,0.05)</f>
        <v>-8.3750137956812978E-2</v>
      </c>
      <c r="N17" s="179"/>
      <c r="O17" s="98"/>
      <c r="P17" s="111"/>
      <c r="Q17" s="111"/>
      <c r="R17" s="111"/>
      <c r="S17" s="382"/>
    </row>
    <row r="18" spans="2:19" ht="15.75" thickBot="1">
      <c r="B18" s="391"/>
      <c r="C18" s="392"/>
      <c r="D18" s="96"/>
      <c r="E18" s="96"/>
      <c r="F18" s="96"/>
      <c r="G18" s="96"/>
      <c r="H18" s="96"/>
      <c r="I18" s="96"/>
      <c r="J18" s="392"/>
      <c r="K18" s="96"/>
      <c r="L18" s="39" t="s">
        <v>216</v>
      </c>
      <c r="M18" s="174">
        <f>_xlfn.PERCENTILE.INC('AC3'!G2:G109,0.1)</f>
        <v>-7.5378325991332526E-2</v>
      </c>
      <c r="N18" s="180"/>
      <c r="O18" s="95"/>
      <c r="P18" s="112"/>
      <c r="Q18" s="112"/>
      <c r="R18" s="112"/>
      <c r="S18" s="382"/>
    </row>
    <row r="19" spans="2:19" ht="15.75" thickBot="1">
      <c r="B19" s="391"/>
      <c r="C19" s="392"/>
      <c r="D19" s="96"/>
      <c r="E19" s="96"/>
      <c r="F19" s="96"/>
      <c r="G19" s="96"/>
      <c r="H19" s="96"/>
      <c r="I19" s="96"/>
      <c r="J19" s="392"/>
      <c r="K19" s="96"/>
      <c r="L19" s="36" t="s">
        <v>217</v>
      </c>
      <c r="M19" s="175">
        <f>_xlfn.PERCENTILE.INC('AC3'!G2:G109,0.9)</f>
        <v>7.6714713994075964E-2</v>
      </c>
      <c r="N19" s="179"/>
      <c r="O19" s="98"/>
      <c r="P19" s="111"/>
      <c r="Q19" s="111"/>
      <c r="R19" s="111"/>
      <c r="S19" s="382"/>
    </row>
    <row r="20" spans="2:19" ht="15.75" thickBot="1">
      <c r="B20" s="381"/>
      <c r="C20" s="96"/>
      <c r="D20" s="96"/>
      <c r="E20" s="96"/>
      <c r="F20" s="96"/>
      <c r="G20" s="96"/>
      <c r="H20" s="96"/>
      <c r="I20" s="96"/>
      <c r="J20" s="96"/>
      <c r="K20" s="96"/>
      <c r="L20" s="39" t="s">
        <v>218</v>
      </c>
      <c r="M20" s="174">
        <f>_xlfn.PERCENTILE.INC('AC3'!G2:G109,0.95)</f>
        <v>9.9850019626319397E-2</v>
      </c>
      <c r="N20" s="180"/>
      <c r="O20" s="95"/>
      <c r="P20" s="112"/>
      <c r="Q20" s="112"/>
      <c r="R20" s="112"/>
      <c r="S20" s="382"/>
    </row>
    <row r="21" spans="2:19" ht="15.75" thickBot="1">
      <c r="B21" s="381"/>
      <c r="C21" s="96"/>
      <c r="D21" s="96"/>
      <c r="E21" s="96"/>
      <c r="F21" s="96"/>
      <c r="G21" s="96"/>
      <c r="H21" s="96"/>
      <c r="I21" s="96"/>
      <c r="J21" s="96"/>
      <c r="K21" s="96"/>
      <c r="L21" s="36" t="s">
        <v>219</v>
      </c>
      <c r="M21" s="175">
        <f>SKEW('AC3'!G2:G109)</f>
        <v>0.23044959023164013</v>
      </c>
      <c r="N21" s="179"/>
      <c r="O21" s="98"/>
      <c r="P21" s="111"/>
      <c r="Q21" s="111"/>
      <c r="R21" s="111"/>
      <c r="S21" s="382"/>
    </row>
    <row r="22" spans="2:19" ht="15.75" thickBot="1">
      <c r="B22" s="381"/>
      <c r="C22" s="96"/>
      <c r="D22" s="96"/>
      <c r="E22" s="96"/>
      <c r="F22" s="96"/>
      <c r="G22" s="96"/>
      <c r="H22" s="96"/>
      <c r="I22" s="96"/>
      <c r="J22" s="96"/>
      <c r="K22" s="96"/>
      <c r="L22" s="42" t="s">
        <v>10</v>
      </c>
      <c r="M22" s="176">
        <f>KURT('AC3'!G2:G109)</f>
        <v>1.0463771433812998</v>
      </c>
      <c r="N22" s="180"/>
      <c r="O22" s="95"/>
      <c r="P22" s="112"/>
      <c r="Q22" s="112"/>
      <c r="R22" s="112"/>
      <c r="S22" s="382"/>
    </row>
    <row r="23" spans="2:19" ht="15.75" thickBot="1">
      <c r="B23" s="381"/>
      <c r="C23" s="96"/>
      <c r="D23" s="96"/>
      <c r="E23" s="96"/>
      <c r="F23" s="96"/>
      <c r="G23" s="96"/>
      <c r="H23" s="96"/>
      <c r="I23" s="96"/>
      <c r="J23" s="96"/>
      <c r="K23" s="96"/>
      <c r="R23" s="113"/>
      <c r="S23" s="382"/>
    </row>
    <row r="24" spans="2:19" ht="15.75" thickBot="1">
      <c r="B24" s="381"/>
      <c r="C24" s="96"/>
      <c r="D24" s="96"/>
      <c r="E24" s="96"/>
      <c r="F24" s="96"/>
      <c r="G24" s="96"/>
      <c r="H24" s="96"/>
      <c r="I24" s="96"/>
      <c r="J24" s="96"/>
      <c r="K24" s="96"/>
      <c r="L24" s="449" t="s">
        <v>209</v>
      </c>
      <c r="M24" s="450"/>
      <c r="N24" s="450"/>
      <c r="O24" s="450"/>
      <c r="P24" s="450"/>
      <c r="Q24" s="451"/>
      <c r="R24" s="170"/>
      <c r="S24" s="382"/>
    </row>
    <row r="25" spans="2:19" ht="15.75" thickBot="1">
      <c r="B25" s="381"/>
      <c r="C25" s="96"/>
      <c r="D25" s="96"/>
      <c r="E25" s="96"/>
      <c r="F25" s="96"/>
      <c r="G25" s="96"/>
      <c r="H25" s="96"/>
      <c r="I25" s="96"/>
      <c r="J25" s="96"/>
      <c r="K25" s="96"/>
      <c r="L25" s="59" t="s">
        <v>130</v>
      </c>
      <c r="M25" s="60" t="str">
        <f>F10</f>
        <v>BP</v>
      </c>
      <c r="N25" s="60" t="str">
        <f>F11</f>
        <v>Tata Motors</v>
      </c>
      <c r="O25" s="60" t="str">
        <f>F12</f>
        <v>Vestas</v>
      </c>
      <c r="P25" s="60" t="str">
        <f>F13</f>
        <v>Toyota</v>
      </c>
      <c r="Q25" s="61" t="str">
        <f>F14</f>
        <v>IBM</v>
      </c>
      <c r="R25" s="95"/>
      <c r="S25" s="382"/>
    </row>
    <row r="26" spans="2:19" ht="15.75" thickBot="1">
      <c r="B26" s="381"/>
      <c r="C26" s="96"/>
      <c r="D26" s="96"/>
      <c r="E26" s="96"/>
      <c r="F26" s="96"/>
      <c r="G26" s="96"/>
      <c r="H26" s="96"/>
      <c r="I26" s="96"/>
      <c r="J26" s="96"/>
      <c r="K26" s="96"/>
      <c r="L26" s="45" t="str">
        <f>F10</f>
        <v>BP</v>
      </c>
      <c r="M26" s="46">
        <v>1</v>
      </c>
      <c r="N26" s="88"/>
      <c r="O26" s="88"/>
      <c r="P26" s="88"/>
      <c r="Q26" s="89"/>
      <c r="R26" s="111"/>
      <c r="S26" s="382"/>
    </row>
    <row r="27" spans="2:19" ht="15.75" thickBot="1">
      <c r="B27" s="381"/>
      <c r="C27" s="96"/>
      <c r="D27" s="96"/>
      <c r="E27" s="96"/>
      <c r="F27" s="96"/>
      <c r="G27" s="96"/>
      <c r="H27" s="96"/>
      <c r="I27" s="96"/>
      <c r="J27" s="96"/>
      <c r="K27" s="96"/>
      <c r="L27" s="39" t="str">
        <f t="shared" ref="L27:L30" si="1">F11</f>
        <v>Tata Motors</v>
      </c>
      <c r="M27" s="40">
        <f ca="1">CORREL(OFFSET(INDEX('Asset Returns'!$E:$E,2),0,MATCH(M$25,'Asset Returns'!$E$1:$ZH$1,0)-1,$D$14),OFFSET(INDEX('Asset Returns'!$E:$E,2),0,MATCH($L27,'Asset Returns'!$E$1:$ZH$1,0)-1,$D$14))</f>
        <v>0.35182375018293904</v>
      </c>
      <c r="N27" s="48">
        <v>1</v>
      </c>
      <c r="O27" s="40"/>
      <c r="P27" s="40"/>
      <c r="Q27" s="41"/>
      <c r="R27" s="112"/>
      <c r="S27" s="382"/>
    </row>
    <row r="28" spans="2:19" ht="15.75" thickBot="1">
      <c r="B28" s="381"/>
      <c r="C28" s="96"/>
      <c r="D28" s="96"/>
      <c r="E28" s="96"/>
      <c r="F28" s="96"/>
      <c r="G28" s="96"/>
      <c r="H28" s="96"/>
      <c r="I28" s="96"/>
      <c r="J28" s="96"/>
      <c r="K28" s="96"/>
      <c r="L28" s="36" t="str">
        <f t="shared" si="1"/>
        <v>Vestas</v>
      </c>
      <c r="M28" s="37">
        <f ca="1">CORREL(OFFSET(INDEX('Asset Returns'!$E:$E,2),0,MATCH(M$25,'Asset Returns'!$E$1:$ZH$1,0)-1,$D$14),OFFSET(INDEX('Asset Returns'!$E:$E,2),0,MATCH($L28,'Asset Returns'!$E$1:$ZH$1,0)-1,$D$14))</f>
        <v>0.19582625094663286</v>
      </c>
      <c r="N28" s="37">
        <f ca="1">CORREL(OFFSET(INDEX('Asset Returns'!$E:$E,2),0,MATCH(N$25,'Asset Returns'!$E$1:$ZH$1,0)-1,$D$14),OFFSET(INDEX('Asset Returns'!$E:$E,2),0,MATCH($L28,'Asset Returns'!$E$1:$ZH$1,0)-1,$D$14))</f>
        <v>0.25581148112225599</v>
      </c>
      <c r="O28" s="49">
        <v>1</v>
      </c>
      <c r="P28" s="90"/>
      <c r="Q28" s="91"/>
      <c r="R28" s="111"/>
      <c r="S28" s="382"/>
    </row>
    <row r="29" spans="2:19" ht="15.75" thickBot="1">
      <c r="B29" s="381"/>
      <c r="C29" s="96"/>
      <c r="D29" s="96"/>
      <c r="E29" s="96"/>
      <c r="F29" s="96"/>
      <c r="G29" s="96"/>
      <c r="H29" s="96"/>
      <c r="I29" s="96"/>
      <c r="J29" s="96"/>
      <c r="K29" s="96"/>
      <c r="L29" s="39" t="str">
        <f t="shared" si="1"/>
        <v>Toyota</v>
      </c>
      <c r="M29" s="40">
        <f ca="1">CORREL(OFFSET(INDEX('Asset Returns'!$E:$E,2),0,MATCH(M$25,'Asset Returns'!$E$1:$ZH$1,0)-1,$D$14),OFFSET(INDEX('Asset Returns'!$E:$E,2),0,MATCH($L29,'Asset Returns'!$E$1:$ZH$1,0)-1,$D$14))</f>
        <v>0.29880342648300118</v>
      </c>
      <c r="N29" s="40">
        <f ca="1">CORREL(OFFSET(INDEX('Asset Returns'!$E:$E,2),0,MATCH(N$25,'Asset Returns'!$E$1:$ZH$1,0)-1,$D$14),OFFSET(INDEX('Asset Returns'!$E:$E,2),0,MATCH($L29,'Asset Returns'!$E$1:$ZH$1,0)-1,$D$14))</f>
        <v>0.35696156059373307</v>
      </c>
      <c r="O29" s="40">
        <f ca="1">CORREL(OFFSET(INDEX('Asset Returns'!$E:$E,2),0,MATCH(O$25,'Asset Returns'!$E$1:$ZH$1,0)-1,$D$14),OFFSET(INDEX('Asset Returns'!$E:$E,2),0,MATCH($L29,'Asset Returns'!$E$1:$ZH$1,0)-1,$D$14))</f>
        <v>0.17441016875629545</v>
      </c>
      <c r="P29" s="48">
        <v>1</v>
      </c>
      <c r="Q29" s="41"/>
      <c r="R29" s="112"/>
      <c r="S29" s="382"/>
    </row>
    <row r="30" spans="2:19" ht="15.75" thickBot="1">
      <c r="B30" s="381"/>
      <c r="C30" s="96"/>
      <c r="D30" s="96"/>
      <c r="E30" s="96"/>
      <c r="F30" s="96"/>
      <c r="G30" s="96"/>
      <c r="H30" s="96"/>
      <c r="I30" s="96"/>
      <c r="J30" s="96"/>
      <c r="K30" s="96"/>
      <c r="L30" s="50" t="str">
        <f t="shared" si="1"/>
        <v>IBM</v>
      </c>
      <c r="M30" s="51">
        <f ca="1">CORREL(OFFSET(INDEX('Asset Returns'!$E:$E,2),0,MATCH(M$25,'Asset Returns'!$E$1:$ZH$1,0)-1,$D$14),OFFSET(INDEX('Asset Returns'!$E:$E,2),0,MATCH($L30,'Asset Returns'!$E$1:$ZH$1,0)-1,$D$14))</f>
        <v>0.22980883653670964</v>
      </c>
      <c r="N30" s="51">
        <f ca="1">CORREL(OFFSET(INDEX('Asset Returns'!$E:$E,2),0,MATCH(N$25,'Asset Returns'!$E$1:$ZH$1,0)-1,$D$14),OFFSET(INDEX('Asset Returns'!$E:$E,2),0,MATCH($L30,'Asset Returns'!$E$1:$ZH$1,0)-1,$D$14))</f>
        <v>0.29844385277143171</v>
      </c>
      <c r="O30" s="51">
        <f ca="1">CORREL(OFFSET(INDEX('Asset Returns'!$E:$E,2),0,MATCH(O$25,'Asset Returns'!$E$1:$ZH$1,0)-1,$D$14),OFFSET(INDEX('Asset Returns'!$E:$E,2),0,MATCH($L30,'Asset Returns'!$E$1:$ZH$1,0)-1,$D$14))</f>
        <v>0.17930090278490257</v>
      </c>
      <c r="P30" s="51">
        <f ca="1">CORREL(OFFSET(INDEX('Asset Returns'!$E:$E,2),0,MATCH(P$25,'Asset Returns'!$E$1:$ZH$1,0)-1,$D$14),OFFSET(INDEX('Asset Returns'!$E:$E,2),0,MATCH($L30,'Asset Returns'!$E$1:$ZH$1,0)-1,$D$14))</f>
        <v>0.22654471291116568</v>
      </c>
      <c r="Q30" s="52">
        <v>1</v>
      </c>
      <c r="R30" s="114"/>
      <c r="S30" s="382"/>
    </row>
    <row r="31" spans="2:19" ht="15.75" thickBot="1">
      <c r="B31" s="381"/>
      <c r="C31" s="96"/>
      <c r="D31" s="96"/>
      <c r="E31" s="96"/>
      <c r="F31" s="96"/>
      <c r="G31" s="96"/>
      <c r="H31" s="96"/>
      <c r="I31" s="96"/>
      <c r="J31" s="96"/>
      <c r="K31" s="96"/>
      <c r="L31" s="96"/>
      <c r="M31" s="96"/>
      <c r="N31" s="96"/>
      <c r="O31" s="96"/>
      <c r="P31" s="96"/>
      <c r="Q31" s="96"/>
      <c r="R31" s="96"/>
      <c r="S31" s="382"/>
    </row>
    <row r="32" spans="2:19" ht="15.75" thickBot="1">
      <c r="B32" s="381"/>
      <c r="C32" s="96"/>
      <c r="D32" s="96"/>
      <c r="E32" s="96"/>
      <c r="F32" s="96"/>
      <c r="G32" s="96"/>
      <c r="H32" s="96"/>
      <c r="I32" s="96"/>
      <c r="J32" s="96"/>
      <c r="K32" s="96"/>
      <c r="L32" s="449" t="s">
        <v>210</v>
      </c>
      <c r="M32" s="450"/>
      <c r="N32" s="450"/>
      <c r="O32" s="450"/>
      <c r="P32" s="450"/>
      <c r="Q32" s="450"/>
      <c r="R32" s="451"/>
      <c r="S32" s="382"/>
    </row>
    <row r="33" spans="2:19" ht="15.75" thickBot="1">
      <c r="B33" s="381"/>
      <c r="C33" s="96"/>
      <c r="D33" s="96"/>
      <c r="E33" s="96"/>
      <c r="F33" s="96"/>
      <c r="G33" s="96"/>
      <c r="H33" s="96"/>
      <c r="I33" s="96"/>
      <c r="J33" s="96"/>
      <c r="K33" s="96"/>
      <c r="L33" s="59" t="s">
        <v>133</v>
      </c>
      <c r="M33" s="62" t="s">
        <v>11</v>
      </c>
      <c r="N33" s="324" t="s">
        <v>158</v>
      </c>
      <c r="O33" s="60" t="s">
        <v>12</v>
      </c>
      <c r="P33" s="60" t="s">
        <v>13</v>
      </c>
      <c r="Q33" s="60" t="s">
        <v>14</v>
      </c>
      <c r="R33" s="304" t="s">
        <v>22</v>
      </c>
      <c r="S33" s="382"/>
    </row>
    <row r="34" spans="2:19">
      <c r="B34" s="381"/>
      <c r="C34" s="96"/>
      <c r="D34" s="96"/>
      <c r="E34" s="96"/>
      <c r="F34" s="96"/>
      <c r="G34" s="96"/>
      <c r="H34" s="96"/>
      <c r="I34" s="96"/>
      <c r="J34" s="96"/>
      <c r="K34" s="96"/>
      <c r="L34" s="68" t="str">
        <f>M10</f>
        <v>Portfolio</v>
      </c>
      <c r="M34" s="69">
        <f>INDEX(LINEST('AC3'!$N$2:$N$109,'AC2'!$F$2:$J$109,1,),19-COLUMN())</f>
        <v>-6.9271057775939981E-4</v>
      </c>
      <c r="N34" s="69">
        <f>INDEX(LINEST('AC3'!$N$2:$N$109,'AC2'!$F$2:$J$109,1,),19-COLUMN())</f>
        <v>1.1132306839751172</v>
      </c>
      <c r="O34" s="69">
        <f>INDEX(LINEST('AC3'!$N$2:$N$109,'AC2'!$F$2:$J$109,1,),19-COLUMN())</f>
        <v>0.68446533482238969</v>
      </c>
      <c r="P34" s="69">
        <f>INDEX(LINEST('AC3'!$N$2:$N$109,'AC2'!$F$2:$J$109,1,),19-COLUMN())</f>
        <v>0.48435249022450677</v>
      </c>
      <c r="Q34" s="69">
        <f>INDEX(LINEST('AC3'!$N$2:$N$109,'AC2'!$F$2:$J$109,1,),19-COLUMN())</f>
        <v>-0.14359587425999387</v>
      </c>
      <c r="R34" s="305">
        <f>INDEX(LINEST('AC3'!$N$2:$N$109,'AC2'!$F$2:$J$109,1,),19-COLUMN())</f>
        <v>-0.68211369708646341</v>
      </c>
      <c r="S34" s="382"/>
    </row>
    <row r="35" spans="2:19" ht="15.75" thickBot="1">
      <c r="B35" s="381"/>
      <c r="C35" s="96"/>
      <c r="D35" s="96"/>
      <c r="E35" s="96"/>
      <c r="F35" s="96"/>
      <c r="G35" s="96"/>
      <c r="H35" s="96"/>
      <c r="I35" s="96"/>
      <c r="J35" s="96"/>
      <c r="K35" s="96"/>
      <c r="L35" s="73" t="s">
        <v>222</v>
      </c>
      <c r="M35" s="74">
        <f>_xlfn.T.DIST.2T(ABS(M34/INDEX(LINEST('AC3'!$N$2:$N$109,'AC2'!$F$2:$J$109,1,1),2,19-COLUMN())),INDEX(LINEST('AC3'!$N$2:$N$109,'AC2'!$F$2:$J$109,1,1),4,2))</f>
        <v>0.87473805404186045</v>
      </c>
      <c r="N35" s="74">
        <f>_xlfn.T.DIST.2T(ABS(N34/INDEX(LINEST('AC3'!$N$2:$N$109,'AC2'!$F$2:$J$109,1,1),2,19-COLUMN())),INDEX(LINEST('AC3'!$N$2:$N$109,'AC2'!$F$2:$J$109,1,1),4,2))</f>
        <v>6.4194971852606747E-17</v>
      </c>
      <c r="O35" s="74">
        <f>_xlfn.T.DIST.2T(ABS(O34/INDEX(LINEST('AC3'!$N$2:$N$109,'AC2'!$F$2:$J$109,1,1),2,19-COLUMN())),INDEX(LINEST('AC3'!$N$2:$N$109,'AC2'!$F$2:$J$109,1,1),4,2))</f>
        <v>3.581183134790069E-2</v>
      </c>
      <c r="P35" s="74">
        <f>_xlfn.T.DIST.2T(ABS(P34/INDEX(LINEST('AC3'!$N$2:$N$109,'AC2'!$F$2:$J$109,1,1),2,19-COLUMN())),INDEX(LINEST('AC3'!$N$2:$N$109,'AC2'!$F$2:$J$109,1,1),4,2))</f>
        <v>8.4060045919266677E-2</v>
      </c>
      <c r="Q35" s="74">
        <f>_xlfn.T.DIST.2T(ABS(Q34/INDEX(LINEST('AC3'!$N$2:$N$109,'AC2'!$F$2:$J$109,1,1),2,19-COLUMN())),INDEX(LINEST('AC3'!$N$2:$N$109,'AC2'!$F$2:$J$109,1,1),4,2))</f>
        <v>0.46426814508287095</v>
      </c>
      <c r="R35" s="317">
        <f>_xlfn.T.DIST.2T(ABS(R34/INDEX(LINEST('AC3'!$N$2:$N$109,'AC2'!$F$2:$J$109,1,1),2,19-COLUMN())),INDEX(LINEST('AC3'!$N$2:$N$109,'AC2'!$F$2:$J$109,1,1),4,2))</f>
        <v>6.0809855559906837E-3</v>
      </c>
      <c r="S35" s="382"/>
    </row>
    <row r="36" spans="2:19" ht="15.75" thickBot="1">
      <c r="B36" s="381"/>
      <c r="C36" s="96"/>
      <c r="D36" s="96"/>
      <c r="E36" s="96"/>
      <c r="F36" s="96"/>
      <c r="G36" s="96"/>
      <c r="H36" s="96"/>
      <c r="I36" s="96"/>
      <c r="J36" s="96"/>
      <c r="K36" s="96"/>
      <c r="L36" s="181"/>
      <c r="M36" s="182"/>
      <c r="N36" s="182"/>
      <c r="O36" s="182"/>
      <c r="P36" s="182"/>
      <c r="Q36" s="182"/>
      <c r="R36" s="182"/>
      <c r="S36" s="382"/>
    </row>
    <row r="37" spans="2:19" ht="15.75" thickBot="1">
      <c r="B37" s="381"/>
      <c r="C37" s="96"/>
      <c r="D37" s="96"/>
      <c r="E37" s="96"/>
      <c r="F37" s="96"/>
      <c r="G37" s="96"/>
      <c r="H37" s="96"/>
      <c r="I37" s="96"/>
      <c r="J37" s="96"/>
      <c r="K37" s="96"/>
      <c r="L37" s="449" t="s">
        <v>232</v>
      </c>
      <c r="M37" s="450"/>
      <c r="N37" s="450"/>
      <c r="O37" s="450"/>
      <c r="P37" s="450"/>
      <c r="Q37" s="451"/>
      <c r="R37" s="117"/>
      <c r="S37" s="382"/>
    </row>
    <row r="38" spans="2:19" ht="15.75" thickBot="1">
      <c r="B38" s="381"/>
      <c r="C38" s="96"/>
      <c r="D38" s="96"/>
      <c r="E38" s="96"/>
      <c r="F38" s="96"/>
      <c r="G38" s="96"/>
      <c r="H38" s="96"/>
      <c r="I38" s="96"/>
      <c r="J38" s="96"/>
      <c r="K38" s="96"/>
      <c r="L38" s="419" t="s">
        <v>233</v>
      </c>
      <c r="M38" s="63">
        <v>10000</v>
      </c>
      <c r="N38" s="63">
        <v>100000</v>
      </c>
      <c r="O38" s="63">
        <v>250000</v>
      </c>
      <c r="P38" s="63">
        <v>500000</v>
      </c>
      <c r="Q38" s="64">
        <v>1000000</v>
      </c>
      <c r="R38" s="115"/>
      <c r="S38" s="382"/>
    </row>
    <row r="39" spans="2:19" ht="15.75" thickBot="1">
      <c r="B39" s="381"/>
      <c r="C39" s="96"/>
      <c r="D39" s="96"/>
      <c r="E39" s="96"/>
      <c r="F39" s="96"/>
      <c r="G39" s="96"/>
      <c r="H39" s="96"/>
      <c r="I39" s="96"/>
      <c r="J39" s="96"/>
      <c r="K39" s="96"/>
      <c r="L39" s="35" t="s">
        <v>174</v>
      </c>
      <c r="M39" s="53">
        <f>ABS(_xlfn.PERCENTILE.INC('AC3'!$G$2:$G$109,0.01)*M38)</f>
        <v>1278.4074075142371</v>
      </c>
      <c r="N39" s="53">
        <f>ABS(_xlfn.PERCENTILE.INC('AC3'!$G$2:$G$109,0.01)*N38)</f>
        <v>12784.074075142371</v>
      </c>
      <c r="O39" s="53">
        <f>ABS(_xlfn.PERCENTILE.INC('AC3'!$G$2:$G$109,0.01)*O38)</f>
        <v>31960.185187855928</v>
      </c>
      <c r="P39" s="53">
        <f>ABS(_xlfn.PERCENTILE.INC('AC3'!$G$2:$G$109,0.01)*P38)</f>
        <v>63920.370375711856</v>
      </c>
      <c r="Q39" s="54">
        <f>ABS(_xlfn.PERCENTILE.INC('AC3'!$G$2:$G$109,0.01)*Q38)</f>
        <v>127840.74075142371</v>
      </c>
      <c r="R39" s="116"/>
      <c r="S39" s="382"/>
    </row>
    <row r="40" spans="2:19" ht="15.75" thickBot="1">
      <c r="B40" s="381"/>
      <c r="C40" s="96"/>
      <c r="D40" s="96"/>
      <c r="E40" s="96"/>
      <c r="F40" s="96"/>
      <c r="G40" s="96"/>
      <c r="H40" s="96"/>
      <c r="I40" s="96"/>
      <c r="J40" s="96"/>
      <c r="K40" s="96"/>
      <c r="L40" s="36" t="s">
        <v>175</v>
      </c>
      <c r="M40" s="55">
        <f>ABS(_xlfn.PERCENTILE.INC('AC3'!$G$2:$G$109,0.05)*M38)</f>
        <v>837.50137956812978</v>
      </c>
      <c r="N40" s="55">
        <f>ABS(_xlfn.PERCENTILE.INC('AC3'!$G$2:$G$109,0.05)*N38)</f>
        <v>8375.0137956812978</v>
      </c>
      <c r="O40" s="55">
        <f>ABS(_xlfn.PERCENTILE.INC('AC3'!$G$2:$G$109,0.05)*O38)</f>
        <v>20937.534489203244</v>
      </c>
      <c r="P40" s="55">
        <f>ABS(_xlfn.PERCENTILE.INC('AC3'!$G$2:$G$109,0.05)*P38)</f>
        <v>41875.068978406489</v>
      </c>
      <c r="Q40" s="56">
        <f>ABS(_xlfn.PERCENTILE.INC('AC3'!$G$2:$G$109,0.05)*Q38)</f>
        <v>83750.137956812978</v>
      </c>
      <c r="R40" s="132"/>
      <c r="S40" s="382"/>
    </row>
    <row r="41" spans="2:19" ht="15.75" thickBot="1">
      <c r="B41" s="381"/>
      <c r="C41" s="96"/>
      <c r="D41" s="96"/>
      <c r="E41" s="96"/>
      <c r="F41" s="96"/>
      <c r="G41" s="96"/>
      <c r="H41" s="96"/>
      <c r="I41" s="96"/>
      <c r="J41" s="96"/>
      <c r="K41" s="96"/>
      <c r="L41" s="39" t="s">
        <v>176</v>
      </c>
      <c r="M41" s="57">
        <f ca="1">ABS(AVERAGEIF(OFFSET(INDEX('AC3'!$G$2:$G$109,2),0,0,$D$14),"&lt;"&amp;_xlfn.PERCENTILE.INC('AC3'!$G$2:$G$109,0.01))*M38)</f>
        <v>1492.8861018270254</v>
      </c>
      <c r="N41" s="57">
        <f ca="1">ABS(AVERAGEIF(OFFSET(INDEX('AC3'!$G$2:$G$109,2),0,0,$D$14),"&lt;"&amp;_xlfn.PERCENTILE.INC('AC3'!$G$2:$G$109,0.01))*N38)</f>
        <v>14928.861018270254</v>
      </c>
      <c r="O41" s="57">
        <f ca="1">ABS(AVERAGEIF(OFFSET(INDEX('AC3'!$G$2:$G$109,2),0,0,$D$14),"&lt;"&amp;_xlfn.PERCENTILE.INC('AC3'!$G$2:$G$109,0.01))*O38)</f>
        <v>37322.152545675635</v>
      </c>
      <c r="P41" s="57">
        <f ca="1">ABS(AVERAGEIF(OFFSET(INDEX('AC3'!$G$2:$G$109,2),0,0,$D$14),"&lt;"&amp;_xlfn.PERCENTILE.INC('AC3'!$G$2:$G$109,0.01))*P38)</f>
        <v>74644.305091351271</v>
      </c>
      <c r="Q41" s="58">
        <f ca="1">ABS(AVERAGEIF(OFFSET(INDEX('AC3'!$G$2:$G$109,2),0,0,$D$14),"&lt;"&amp;_xlfn.PERCENTILE.INC('AC3'!$G$2:$G$109,0.01))*Q38)</f>
        <v>149288.61018270254</v>
      </c>
      <c r="R41" s="117"/>
      <c r="S41" s="382"/>
    </row>
    <row r="42" spans="2:19" ht="15.75" thickBot="1">
      <c r="B42" s="381"/>
      <c r="C42" s="96"/>
      <c r="D42" s="96"/>
      <c r="E42" s="96"/>
      <c r="F42" s="96"/>
      <c r="G42" s="96"/>
      <c r="H42" s="96"/>
      <c r="I42" s="96"/>
      <c r="J42" s="96"/>
      <c r="K42" s="96"/>
      <c r="L42" s="50" t="s">
        <v>177</v>
      </c>
      <c r="M42" s="283">
        <f ca="1">ABS(AVERAGEIF(OFFSET(INDEX('AC3'!$G$2:$G$109,2),0,0,$D$14),"&lt;"&amp;_xlfn.PERCENTILE.INC('AC3'!$G$2:$G$109,0.05))*M38)</f>
        <v>1196.5011240101501</v>
      </c>
      <c r="N42" s="283">
        <f ca="1">ABS(AVERAGEIF(OFFSET(INDEX('AC3'!$G$2:$G$109,2),0,0,$D$14),"&lt;"&amp;_xlfn.PERCENTILE.INC('AC3'!$G$2:$G$109,0.05))*N38)</f>
        <v>11965.011240101501</v>
      </c>
      <c r="O42" s="283">
        <f ca="1">ABS(AVERAGEIF(OFFSET(INDEX('AC3'!$G$2:$G$109,2),0,0,$D$14),"&lt;"&amp;_xlfn.PERCENTILE.INC('AC3'!$G$2:$G$109,0.05))*O38)</f>
        <v>29912.528100253752</v>
      </c>
      <c r="P42" s="283">
        <f ca="1">ABS(AVERAGEIF(OFFSET(INDEX('AC3'!$G$2:$G$109,2),0,0,$D$14),"&lt;"&amp;_xlfn.PERCENTILE.INC('AC3'!$G$2:$G$109,0.05))*P38)</f>
        <v>59825.056200507504</v>
      </c>
      <c r="Q42" s="284">
        <f ca="1">ABS(AVERAGEIF(OFFSET(INDEX('AC3'!$G$2:$G$109,2),0,0,$D$14),"&lt;"&amp;_xlfn.PERCENTILE.INC('AC3'!$G$2:$G$109,0.05))*Q38)</f>
        <v>119650.11240101501</v>
      </c>
      <c r="R42" s="115"/>
      <c r="S42" s="382"/>
    </row>
    <row r="43" spans="2:19">
      <c r="B43" s="381"/>
      <c r="C43" s="96"/>
      <c r="D43" s="96"/>
      <c r="E43" s="96"/>
      <c r="F43" s="96"/>
      <c r="G43" s="96"/>
      <c r="H43" s="96"/>
      <c r="I43" s="96"/>
      <c r="J43" s="96"/>
      <c r="K43" s="96"/>
      <c r="L43" s="134"/>
      <c r="M43" s="116"/>
      <c r="N43" s="116"/>
      <c r="O43" s="116"/>
      <c r="P43" s="116"/>
      <c r="Q43" s="116"/>
      <c r="R43" s="116"/>
      <c r="S43" s="382"/>
    </row>
    <row r="44" spans="2:19">
      <c r="B44" s="381"/>
      <c r="C44" s="96"/>
      <c r="D44" s="96"/>
      <c r="E44" s="96"/>
      <c r="F44" s="96"/>
      <c r="G44" s="96"/>
      <c r="H44" s="96"/>
      <c r="I44" s="96"/>
      <c r="J44" s="96"/>
      <c r="K44" s="96"/>
      <c r="L44" s="98"/>
      <c r="M44" s="99"/>
      <c r="N44" s="99"/>
      <c r="O44" s="99"/>
      <c r="P44" s="99"/>
      <c r="Q44" s="99"/>
      <c r="R44" s="99"/>
      <c r="S44" s="382"/>
    </row>
    <row r="45" spans="2:19">
      <c r="B45" s="381"/>
      <c r="C45" s="96"/>
      <c r="D45" s="96"/>
      <c r="E45" s="96"/>
      <c r="F45" s="96"/>
      <c r="G45" s="96"/>
      <c r="H45" s="96"/>
      <c r="I45" s="96"/>
      <c r="J45" s="96"/>
      <c r="K45" s="96"/>
      <c r="L45" s="95"/>
      <c r="M45" s="97"/>
      <c r="N45" s="97"/>
      <c r="O45" s="97"/>
      <c r="P45" s="97"/>
      <c r="Q45" s="97"/>
      <c r="R45" s="97"/>
      <c r="S45" s="382"/>
    </row>
    <row r="46" spans="2:19">
      <c r="B46" s="381"/>
      <c r="C46" s="96"/>
      <c r="D46" s="96"/>
      <c r="E46" s="96"/>
      <c r="F46" s="96"/>
      <c r="G46" s="96"/>
      <c r="H46" s="96"/>
      <c r="I46" s="96"/>
      <c r="J46" s="96"/>
      <c r="K46" s="96"/>
      <c r="L46" s="98"/>
      <c r="M46" s="99"/>
      <c r="N46" s="99"/>
      <c r="O46" s="99"/>
      <c r="P46" s="99"/>
      <c r="Q46" s="99"/>
      <c r="R46" s="99"/>
      <c r="S46" s="382"/>
    </row>
    <row r="47" spans="2:19">
      <c r="B47" s="381"/>
      <c r="C47" s="96"/>
      <c r="D47" s="96"/>
      <c r="E47" s="96"/>
      <c r="F47" s="96"/>
      <c r="G47" s="96"/>
      <c r="H47" s="96"/>
      <c r="I47" s="96"/>
      <c r="J47" s="96"/>
      <c r="K47" s="96"/>
      <c r="L47" s="95"/>
      <c r="M47" s="97"/>
      <c r="N47" s="100"/>
      <c r="O47" s="100"/>
      <c r="P47" s="100"/>
      <c r="Q47" s="100"/>
      <c r="R47" s="100"/>
      <c r="S47" s="382"/>
    </row>
    <row r="48" spans="2:19" ht="21.75" customHeight="1" thickBot="1">
      <c r="B48" s="393"/>
      <c r="C48" s="394"/>
      <c r="D48" s="394"/>
      <c r="E48" s="394"/>
      <c r="F48" s="394"/>
      <c r="G48" s="394"/>
      <c r="H48" s="394"/>
      <c r="I48" s="394"/>
      <c r="J48" s="394"/>
      <c r="K48" s="394"/>
      <c r="L48" s="34"/>
      <c r="M48" s="34"/>
      <c r="N48" s="34"/>
      <c r="O48" s="34"/>
      <c r="P48" s="34"/>
      <c r="Q48" s="34"/>
      <c r="R48" s="34"/>
      <c r="S48" s="395"/>
    </row>
    <row r="49" spans="2:11">
      <c r="B49" s="396"/>
      <c r="C49" s="396"/>
      <c r="D49" s="396"/>
      <c r="E49" s="396"/>
      <c r="F49" s="396"/>
      <c r="G49" s="396"/>
      <c r="H49" s="396"/>
      <c r="I49" s="396"/>
      <c r="J49" s="396"/>
      <c r="K49" s="396"/>
    </row>
  </sheetData>
  <sheetProtection algorithmName="SHA-512" hashValue="Vmcmu4EYGQw82Iz5noji/7GSSaQF+y4Qz8w7xnj3MOZXnWz2sQxd7iaWI+AOqfs4Df4uUWYR3A2uv/D5dn+DkA==" saltValue="7gh1fULmxPn2S5QmYoyHZg==" spinCount="100000" sheet="1" objects="1" scenarios="1"/>
  <mergeCells count="8">
    <mergeCell ref="L37:Q37"/>
    <mergeCell ref="L32:R32"/>
    <mergeCell ref="F2:N4"/>
    <mergeCell ref="C9:D9"/>
    <mergeCell ref="L24:Q24"/>
    <mergeCell ref="I9:J9"/>
    <mergeCell ref="L9:M9"/>
    <mergeCell ref="O9:Q9"/>
  </mergeCells>
  <dataValidations count="3">
    <dataValidation type="list" allowBlank="1" showInputMessage="1" showErrorMessage="1" sqref="G16 J10:J11">
      <formula1>"yes,no"</formula1>
    </dataValidation>
    <dataValidation type="decimal" allowBlank="1" showInputMessage="1" showErrorMessage="1" sqref="M38:Q38">
      <formula1>0</formula1>
      <formula2>1000000</formula2>
    </dataValidation>
    <dataValidation type="decimal" allowBlank="1" showInputMessage="1" showErrorMessage="1" sqref="G10:G14">
      <formula1>-10</formula1>
      <formula2>10</formula2>
    </dataValidation>
  </dataValidations>
  <pageMargins left="0.7" right="0.7" top="0.78740157499999996" bottom="0.78740157499999996" header="0.3" footer="0.3"/>
  <pageSetup paperSize="9" orientation="portrait" r:id="rId1"/>
  <ignoredErrors>
    <ignoredError sqref="D14"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'Asset Returns'!$F$1:$N$1</xm:f>
          </x14:formula1>
          <xm:sqref>F10:F14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A83E"/>
  </sheetPr>
  <dimension ref="B2:S49"/>
  <sheetViews>
    <sheetView zoomScaleNormal="100" workbookViewId="0">
      <selection activeCell="J10" sqref="J10"/>
    </sheetView>
  </sheetViews>
  <sheetFormatPr baseColWidth="10" defaultRowHeight="15"/>
  <cols>
    <col min="1" max="1" width="5.7109375" style="33" customWidth="1"/>
    <col min="2" max="4" width="15.7109375" style="33" customWidth="1"/>
    <col min="5" max="5" width="11.42578125" style="33" customWidth="1"/>
    <col min="6" max="6" width="26.28515625" style="33" customWidth="1"/>
    <col min="7" max="7" width="11.42578125" style="33" customWidth="1"/>
    <col min="8" max="8" width="15.7109375" style="33" customWidth="1"/>
    <col min="9" max="11" width="11.42578125" style="33"/>
    <col min="12" max="12" width="25.85546875" style="33" bestFit="1" customWidth="1"/>
    <col min="13" max="13" width="11.42578125" style="33" customWidth="1"/>
    <col min="14" max="18" width="11.42578125" style="33"/>
    <col min="19" max="19" width="5.7109375" style="33" customWidth="1"/>
    <col min="20" max="16384" width="11.42578125" style="33"/>
  </cols>
  <sheetData>
    <row r="2" spans="2:19" ht="15" customHeight="1">
      <c r="E2" s="113"/>
      <c r="F2" s="452"/>
      <c r="G2" s="452"/>
      <c r="H2" s="452"/>
      <c r="I2" s="452"/>
      <c r="J2" s="452"/>
      <c r="K2" s="452"/>
      <c r="L2" s="452"/>
      <c r="M2" s="452"/>
      <c r="N2" s="452"/>
      <c r="O2" s="113"/>
    </row>
    <row r="3" spans="2:19" ht="15" customHeight="1">
      <c r="E3" s="377"/>
      <c r="F3" s="452"/>
      <c r="G3" s="452"/>
      <c r="H3" s="452"/>
      <c r="I3" s="452"/>
      <c r="J3" s="452"/>
      <c r="K3" s="452"/>
      <c r="L3" s="452"/>
      <c r="M3" s="452"/>
      <c r="N3" s="452"/>
      <c r="O3" s="377"/>
    </row>
    <row r="4" spans="2:19" ht="15" customHeight="1">
      <c r="E4" s="113"/>
      <c r="F4" s="452"/>
      <c r="G4" s="452"/>
      <c r="H4" s="452"/>
      <c r="I4" s="452"/>
      <c r="J4" s="452"/>
      <c r="K4" s="452"/>
      <c r="L4" s="452"/>
      <c r="M4" s="452"/>
      <c r="N4" s="452"/>
      <c r="O4" s="113"/>
    </row>
    <row r="6" spans="2:19" ht="15.75" thickBot="1"/>
    <row r="7" spans="2:19" ht="19.5" thickBot="1">
      <c r="B7" s="378" t="s">
        <v>212</v>
      </c>
      <c r="C7" s="379"/>
      <c r="D7" s="379"/>
      <c r="E7" s="379"/>
      <c r="F7" s="379"/>
      <c r="G7" s="379"/>
      <c r="H7" s="379"/>
      <c r="I7" s="379"/>
      <c r="J7" s="379"/>
      <c r="K7" s="379"/>
      <c r="L7" s="379"/>
      <c r="M7" s="379"/>
      <c r="N7" s="379"/>
      <c r="O7" s="379"/>
      <c r="P7" s="379"/>
      <c r="Q7" s="379"/>
      <c r="R7" s="379"/>
      <c r="S7" s="380"/>
    </row>
    <row r="8" spans="2:19" ht="15.75" thickBot="1">
      <c r="B8" s="381"/>
      <c r="C8" s="96"/>
      <c r="D8" s="96"/>
      <c r="E8" s="96"/>
      <c r="F8" s="96"/>
      <c r="G8" s="96"/>
      <c r="H8" s="96"/>
      <c r="I8" s="96"/>
      <c r="J8" s="96"/>
      <c r="K8" s="96"/>
      <c r="L8" s="113"/>
      <c r="M8" s="113"/>
      <c r="N8" s="113"/>
      <c r="O8" s="113"/>
      <c r="P8" s="113"/>
      <c r="Q8" s="113"/>
      <c r="R8" s="113"/>
      <c r="S8" s="382"/>
    </row>
    <row r="9" spans="2:19" ht="15.75" thickBot="1">
      <c r="B9" s="383"/>
      <c r="C9" s="453" t="s">
        <v>4</v>
      </c>
      <c r="D9" s="454"/>
      <c r="E9" s="113"/>
      <c r="F9" s="384" t="s">
        <v>244</v>
      </c>
      <c r="H9" s="397"/>
      <c r="I9" s="455" t="s">
        <v>204</v>
      </c>
      <c r="J9" s="456"/>
      <c r="K9" s="113"/>
      <c r="L9" s="449" t="s">
        <v>208</v>
      </c>
      <c r="M9" s="450"/>
      <c r="N9" s="450"/>
      <c r="O9" s="450"/>
      <c r="P9" s="450"/>
      <c r="Q9" s="451"/>
      <c r="R9" s="170"/>
      <c r="S9" s="382"/>
    </row>
    <row r="10" spans="2:19" ht="15.75" thickBot="1">
      <c r="B10" s="383"/>
      <c r="C10" s="371" t="s">
        <v>199</v>
      </c>
      <c r="D10" s="436" t="s">
        <v>3</v>
      </c>
      <c r="E10" s="113"/>
      <c r="F10" s="369" t="s">
        <v>286</v>
      </c>
      <c r="H10" s="397"/>
      <c r="I10" s="374" t="s">
        <v>166</v>
      </c>
      <c r="J10" s="375" t="s">
        <v>297</v>
      </c>
      <c r="K10" s="113"/>
      <c r="L10" s="59" t="s">
        <v>205</v>
      </c>
      <c r="M10" s="253" t="str">
        <f>F10</f>
        <v>US GI World Precious Minerals</v>
      </c>
      <c r="N10" s="253" t="str">
        <f>F11</f>
        <v>iShares MSCI World ETF</v>
      </c>
      <c r="O10" s="253" t="str">
        <f>F12</f>
        <v>RobecoSAM Sustainable EE</v>
      </c>
      <c r="P10" s="253" t="str">
        <f>F13</f>
        <v>UniNachhaltig Aktien G</v>
      </c>
      <c r="Q10" s="254" t="str">
        <f>F14</f>
        <v>ProShares UltraShort Oil &amp; Gas</v>
      </c>
      <c r="R10" s="95"/>
      <c r="S10" s="382"/>
    </row>
    <row r="11" spans="2:19" ht="15.75" thickBot="1">
      <c r="B11" s="383"/>
      <c r="C11" s="372" t="s">
        <v>200</v>
      </c>
      <c r="D11" s="437" t="s">
        <v>221</v>
      </c>
      <c r="E11" s="113"/>
      <c r="F11" s="369" t="s">
        <v>139</v>
      </c>
      <c r="H11" s="385"/>
      <c r="I11" s="385" t="s">
        <v>234</v>
      </c>
      <c r="J11" s="386"/>
      <c r="K11" s="113"/>
      <c r="L11" s="65" t="s">
        <v>213</v>
      </c>
      <c r="M11" s="66">
        <f ca="1">AVERAGE(OFFSET(INDEX('Asset Returns'!$E:$E,2),0,MATCH(M$10,'Asset Returns'!$E$1:$ZH$1,0)-1,$D$14))</f>
        <v>-5.6590277777777776E-3</v>
      </c>
      <c r="N11" s="66">
        <f ca="1">AVERAGE(OFFSET(INDEX('Asset Returns'!$E:$E,2),0,MATCH(N$10,'Asset Returns'!$E$1:$ZH$1,0)-1,$D$14))</f>
        <v>6.5948861111111137E-3</v>
      </c>
      <c r="O11" s="66">
        <f ca="1">AVERAGE(OFFSET(INDEX('Asset Returns'!$E:$E,2),0,MATCH(O$10,'Asset Returns'!$E$1:$ZH$1,0)-1,$D$14))</f>
        <v>4.2757011111111114E-3</v>
      </c>
      <c r="P11" s="66">
        <f ca="1">AVERAGE(OFFSET(INDEX('Asset Returns'!$E:$E,2),0,MATCH(P$10,'Asset Returns'!$E$1:$ZH$1,0)-1,$D$14))</f>
        <v>5.3872314814814764E-3</v>
      </c>
      <c r="Q11" s="47">
        <f ca="1">AVERAGE(OFFSET(INDEX('Asset Returns'!$E:$E,2),0,MATCH(Q$10,'Asset Returns'!$E$1:$ZH$1,0)-1,$D$14))</f>
        <v>-8.6930833333333409E-3</v>
      </c>
      <c r="R11" s="111"/>
      <c r="S11" s="382"/>
    </row>
    <row r="12" spans="2:19" ht="15.75" thickBot="1">
      <c r="B12" s="383"/>
      <c r="C12" s="372" t="s">
        <v>201</v>
      </c>
      <c r="D12" s="438">
        <v>40179</v>
      </c>
      <c r="E12" s="113"/>
      <c r="F12" s="369" t="s">
        <v>140</v>
      </c>
      <c r="H12" s="387"/>
      <c r="I12" s="386"/>
      <c r="J12" s="96"/>
      <c r="K12" s="113"/>
      <c r="L12" s="39" t="s">
        <v>17</v>
      </c>
      <c r="M12" s="40">
        <f ca="1">MEDIAN(OFFSET(INDEX('Asset Returns'!$E:$E,2),0,MATCH(M$10,'Asset Returns'!$E$1:$ZH$1,0)-1,$D$14))</f>
        <v>-1.61058E-2</v>
      </c>
      <c r="N12" s="40">
        <f ca="1">MEDIAN(OFFSET(INDEX('Asset Returns'!$E:$E,2),0,MATCH(N$10,'Asset Returns'!$E$1:$ZH$1,0)-1,$D$14))</f>
        <v>1.1671549999999999E-2</v>
      </c>
      <c r="O12" s="40">
        <f ca="1">MEDIAN(OFFSET(INDEX('Asset Returns'!$E:$E,2),0,MATCH(O$10,'Asset Returns'!$E$1:$ZH$1,0)-1,$D$14))</f>
        <v>9.791374999999998E-3</v>
      </c>
      <c r="P12" s="40">
        <f ca="1">MEDIAN(OFFSET(INDEX('Asset Returns'!$E:$E,2),0,MATCH(P$10,'Asset Returns'!$E$1:$ZH$1,0)-1,$D$14))</f>
        <v>6.7765300000000002E-3</v>
      </c>
      <c r="Q12" s="41">
        <f ca="1">MEDIAN(OFFSET(INDEX('Asset Returns'!$E:$E,2),0,MATCH(Q$10,'Asset Returns'!$E$1:$ZH$1,0)-1,$D$14))</f>
        <v>-2.5123650000000001E-2</v>
      </c>
      <c r="R12" s="112"/>
      <c r="S12" s="382"/>
    </row>
    <row r="13" spans="2:19" ht="15.75" thickBot="1">
      <c r="B13" s="383"/>
      <c r="C13" s="372" t="s">
        <v>202</v>
      </c>
      <c r="D13" s="438">
        <v>43465</v>
      </c>
      <c r="E13" s="113"/>
      <c r="F13" s="369" t="s">
        <v>142</v>
      </c>
      <c r="H13" s="387"/>
      <c r="I13" s="386"/>
      <c r="J13" s="96"/>
      <c r="K13" s="113"/>
      <c r="L13" s="36" t="s">
        <v>8</v>
      </c>
      <c r="M13" s="37">
        <f ca="1">MIN(OFFSET(INDEX('Asset Returns'!$E:$E,2),0,MATCH(M$10,'Asset Returns'!$E$1:$ZH$1,0)-1,$D$14))</f>
        <v>-0.1805746</v>
      </c>
      <c r="N13" s="37">
        <f ca="1">MIN(OFFSET(INDEX('Asset Returns'!$E:$E,2),0,MATCH(N$10,'Asset Returns'!$E$1:$ZH$1,0)-1,$D$14))</f>
        <v>-9.5416399999999998E-2</v>
      </c>
      <c r="O13" s="37">
        <f ca="1">MIN(OFFSET(INDEX('Asset Returns'!$E:$E,2),0,MATCH(O$10,'Asset Returns'!$E$1:$ZH$1,0)-1,$D$14))</f>
        <v>-0.14414146999999999</v>
      </c>
      <c r="P13" s="37">
        <f ca="1">MIN(OFFSET(INDEX('Asset Returns'!$E:$E,2),0,MATCH(P$10,'Asset Returns'!$E$1:$ZH$1,0)-1,$D$14))</f>
        <v>-9.4264749999999994E-2</v>
      </c>
      <c r="Q13" s="38">
        <f ca="1">MIN(OFFSET(INDEX('Asset Returns'!$E:$E,2),0,MATCH(Q$10,'Asset Returns'!$E$1:$ZH$1,0)-1,$D$14))</f>
        <v>-0.3040506</v>
      </c>
      <c r="R13" s="111"/>
      <c r="S13" s="382"/>
    </row>
    <row r="14" spans="2:19" ht="15.75" thickBot="1">
      <c r="B14" s="383"/>
      <c r="C14" s="373" t="s">
        <v>203</v>
      </c>
      <c r="D14" s="435">
        <v>108</v>
      </c>
      <c r="E14" s="113"/>
      <c r="F14" s="370" t="s">
        <v>138</v>
      </c>
      <c r="H14" s="387"/>
      <c r="I14" s="386"/>
      <c r="J14" s="389"/>
      <c r="K14" s="113"/>
      <c r="L14" s="39" t="s">
        <v>9</v>
      </c>
      <c r="M14" s="40">
        <f ca="1">MAX(OFFSET(INDEX('Asset Returns'!$E:$E,2),0,MATCH(M$10,'Asset Returns'!$E$1:$ZH$1,0)-1,$D$14))</f>
        <v>0.31630649999999999</v>
      </c>
      <c r="N14" s="40">
        <f ca="1">MAX(OFFSET(INDEX('Asset Returns'!$E:$E,2),0,MATCH(N$10,'Asset Returns'!$E$1:$ZH$1,0)-1,$D$14))</f>
        <v>0.1042193</v>
      </c>
      <c r="O14" s="40">
        <f ca="1">MAX(OFFSET(INDEX('Asset Returns'!$E:$E,2),0,MATCH(O$10,'Asset Returns'!$E$1:$ZH$1,0)-1,$D$14))</f>
        <v>0.13526617999999999</v>
      </c>
      <c r="P14" s="40">
        <f ca="1">MAX(OFFSET(INDEX('Asset Returns'!$E:$E,2),0,MATCH(P$10,'Asset Returns'!$E$1:$ZH$1,0)-1,$D$14))</f>
        <v>0.10122566000000001</v>
      </c>
      <c r="Q14" s="41">
        <f ca="1">MAX(OFFSET(INDEX('Asset Returns'!$E:$E,2),0,MATCH(Q$10,'Asset Returns'!$E$1:$ZH$1,0)-1,$D$14))</f>
        <v>0.28984369999999998</v>
      </c>
      <c r="R14" s="112"/>
      <c r="S14" s="382"/>
    </row>
    <row r="15" spans="2:19" ht="15.75" thickBot="1">
      <c r="B15" s="383"/>
      <c r="C15" s="388"/>
      <c r="D15" s="388"/>
      <c r="E15" s="113"/>
      <c r="F15" s="376" t="s">
        <v>220</v>
      </c>
      <c r="H15" s="387"/>
      <c r="I15" s="386"/>
      <c r="J15" s="389"/>
      <c r="K15" s="113"/>
      <c r="L15" s="36" t="s">
        <v>214</v>
      </c>
      <c r="M15" s="37">
        <f ca="1">_xlfn.STDEV.S(OFFSET(INDEX('Asset Returns'!$E:$E,2),0,MATCH(M$10,'Asset Returns'!$E$1:$ZH$1,0)-1,$D$14))</f>
        <v>9.3187386095609087E-2</v>
      </c>
      <c r="N15" s="37">
        <f ca="1">_xlfn.STDEV.S(OFFSET(INDEX('Asset Returns'!$E:$E,2),0,MATCH(N$10,'Asset Returns'!$E$1:$ZH$1,0)-1,$D$14))</f>
        <v>3.7753349646951137E-2</v>
      </c>
      <c r="O15" s="37">
        <f ca="1">_xlfn.STDEV.S(OFFSET(INDEX('Asset Returns'!$E:$E,2),0,MATCH(O$10,'Asset Returns'!$E$1:$ZH$1,0)-1,$D$14))</f>
        <v>5.0462672451271812E-2</v>
      </c>
      <c r="P15" s="37">
        <f ca="1">_xlfn.STDEV.S(OFFSET(INDEX('Asset Returns'!$E:$E,2),0,MATCH(P$10,'Asset Returns'!$E$1:$ZH$1,0)-1,$D$14))</f>
        <v>3.9508741273912316E-2</v>
      </c>
      <c r="Q15" s="38">
        <f ca="1">_xlfn.STDEV.S(OFFSET(INDEX('Asset Returns'!$E:$E,2),0,MATCH(Q$10,'Asset Returns'!$E$1:$ZH$1,0)-1,$D$14))</f>
        <v>0.11270232655516151</v>
      </c>
      <c r="R15" s="111"/>
      <c r="S15" s="382"/>
    </row>
    <row r="16" spans="2:19" ht="15.75" thickBot="1">
      <c r="B16" s="383"/>
      <c r="C16" s="390"/>
      <c r="D16" s="390"/>
      <c r="E16" s="113"/>
      <c r="H16" s="390"/>
      <c r="I16" s="390"/>
      <c r="J16" s="96"/>
      <c r="K16" s="113"/>
      <c r="L16" s="39" t="s">
        <v>16</v>
      </c>
      <c r="M16" s="362">
        <f ca="1">AVERAGE(OFFSET(INDEX('AC4'!$E:$E,2),0,MATCH(M$10,'AC4'!$E$1:$AC$1,0)-1,$D$14))/M15</f>
        <v>-6.3708252847273425E-2</v>
      </c>
      <c r="N16" s="362">
        <f ca="1">AVERAGE(OFFSET(INDEX('AC4'!$E:$E,2),0,MATCH(N$10,'AC4'!$E$1:$AC$1,0)-1,$D$14))/N15</f>
        <v>0.16732577088940467</v>
      </c>
      <c r="O16" s="362">
        <f ca="1">AVERAGE(OFFSET(INDEX('AC4'!$E:$E,2),0,MATCH(O$10,'AC4'!$E$1:$AC$1,0)-1,$D$14))/O15</f>
        <v>7.9225358847053548E-2</v>
      </c>
      <c r="P16" s="362">
        <f ca="1">AVERAGE(OFFSET(INDEX('AC4'!$E:$E,2),0,MATCH(P$10,'AC4'!$E$1:$AC$1,0)-1,$D$14))/P15</f>
        <v>0.12932463902811009</v>
      </c>
      <c r="Q16" s="295">
        <f ca="1">AVERAGE(OFFSET(INDEX('AC4'!$E:$E,2),0,MATCH(Q$10,'AC4'!$E$1:$AC$1,0)-1,$D$14))/Q15</f>
        <v>-7.9597834271153106E-2</v>
      </c>
      <c r="R16" s="112"/>
      <c r="S16" s="382"/>
    </row>
    <row r="17" spans="2:19" ht="15.75" thickBot="1">
      <c r="B17" s="383"/>
      <c r="C17" s="390"/>
      <c r="D17" s="390"/>
      <c r="E17" s="113"/>
      <c r="F17" s="390"/>
      <c r="G17" s="390"/>
      <c r="H17" s="96"/>
      <c r="I17" s="113"/>
      <c r="J17" s="113"/>
      <c r="K17" s="113"/>
      <c r="L17" s="36" t="s">
        <v>215</v>
      </c>
      <c r="M17" s="37">
        <f ca="1">_xlfn.PERCENTILE.INC((OFFSET(INDEX('Asset Returns'!$E:$E,2),0,MATCH(M$10,'Asset Returns'!$E$1:$ZH$1,0)-1,$D$14)),0.05)</f>
        <v>-0.15538437999999996</v>
      </c>
      <c r="N17" s="37">
        <f ca="1">_xlfn.PERCENTILE.INC((OFFSET(INDEX('Asset Returns'!$E:$E,2),0,MATCH(N$10,'Asset Returns'!$E$1:$ZH$1,0)-1,$D$14)),0.05)</f>
        <v>-7.0129929999999993E-2</v>
      </c>
      <c r="O17" s="37">
        <f ca="1">_xlfn.PERCENTILE.INC((OFFSET(INDEX('Asset Returns'!$E:$E,2),0,MATCH(O$10,'Asset Returns'!$E$1:$ZH$1,0)-1,$D$14)),0.05)</f>
        <v>-8.5858213499999989E-2</v>
      </c>
      <c r="P17" s="37">
        <f ca="1">_xlfn.PERCENTILE.INC((OFFSET(INDEX('Asset Returns'!$E:$E,2),0,MATCH(P$10,'Asset Returns'!$E$1:$ZH$1,0)-1,$D$14)),0.05)</f>
        <v>-7.1151084499999989E-2</v>
      </c>
      <c r="Q17" s="38">
        <f ca="1">_xlfn.PERCENTILE.INC((OFFSET(INDEX('Asset Returns'!$E:$E,2),0,MATCH(Q$10,'Asset Returns'!$E$1:$ZH$1,0)-1,$D$14)),0.05)</f>
        <v>-0.173804925</v>
      </c>
      <c r="R17" s="111"/>
      <c r="S17" s="382"/>
    </row>
    <row r="18" spans="2:19" ht="15.75" thickBot="1">
      <c r="B18" s="391"/>
      <c r="C18" s="392"/>
      <c r="D18" s="96"/>
      <c r="E18" s="96"/>
      <c r="F18" s="96"/>
      <c r="G18" s="96"/>
      <c r="H18" s="96"/>
      <c r="I18" s="96"/>
      <c r="J18" s="392"/>
      <c r="K18" s="96"/>
      <c r="L18" s="39" t="s">
        <v>216</v>
      </c>
      <c r="M18" s="40">
        <f ca="1">_xlfn.PERCENTILE.INC((OFFSET(INDEX('Asset Returns'!$E:$E,2),0,MATCH(M$10,'Asset Returns'!$E$1:$ZH$1,0)-1,$D$14)),0.1)</f>
        <v>-0.11227473</v>
      </c>
      <c r="N18" s="40">
        <f ca="1">_xlfn.PERCENTILE.INC((OFFSET(INDEX('Asset Returns'!$E:$E,2),0,MATCH(N$10,'Asset Returns'!$E$1:$ZH$1,0)-1,$D$14)),0.1)</f>
        <v>-3.8322829999999995E-2</v>
      </c>
      <c r="O18" s="40">
        <f ca="1">_xlfn.PERCENTILE.INC((OFFSET(INDEX('Asset Returns'!$E:$E,2),0,MATCH(O$10,'Asset Returns'!$E$1:$ZH$1,0)-1,$D$14)),0.1)</f>
        <v>-5.9667743999999995E-2</v>
      </c>
      <c r="P18" s="40">
        <f ca="1">_xlfn.PERCENTILE.INC((OFFSET(INDEX('Asset Returns'!$E:$E,2),0,MATCH(P$10,'Asset Returns'!$E$1:$ZH$1,0)-1,$D$14)),0.1)</f>
        <v>-3.9128179999999999E-2</v>
      </c>
      <c r="Q18" s="41">
        <f ca="1">_xlfn.PERCENTILE.INC((OFFSET(INDEX('Asset Returns'!$E:$E,2),0,MATCH(Q$10,'Asset Returns'!$E$1:$ZH$1,0)-1,$D$14)),0.1)</f>
        <v>-0.14453004</v>
      </c>
      <c r="R18" s="112"/>
      <c r="S18" s="382"/>
    </row>
    <row r="19" spans="2:19" ht="15.75" thickBot="1">
      <c r="B19" s="391"/>
      <c r="C19" s="392"/>
      <c r="D19" s="96"/>
      <c r="E19" s="96"/>
      <c r="F19" s="96"/>
      <c r="G19" s="96"/>
      <c r="H19" s="96"/>
      <c r="I19" s="96"/>
      <c r="J19" s="392"/>
      <c r="K19" s="96"/>
      <c r="L19" s="36" t="s">
        <v>217</v>
      </c>
      <c r="M19" s="37">
        <f ca="1">_xlfn.PERCENTILE.INC((OFFSET(INDEX('Asset Returns'!$E:$E,2),0,MATCH(M$10,'Asset Returns'!$E$1:$ZH$1,0)-1,$D$14)),0.9)</f>
        <v>0.10610740999999993</v>
      </c>
      <c r="N19" s="37">
        <f ca="1">_xlfn.PERCENTILE.INC((OFFSET(INDEX('Asset Returns'!$E:$E,2),0,MATCH(N$10,'Asset Returns'!$E$1:$ZH$1,0)-1,$D$14)),0.9)</f>
        <v>5.1023209999999999E-2</v>
      </c>
      <c r="O19" s="37">
        <f ca="1">_xlfn.PERCENTILE.INC((OFFSET(INDEX('Asset Returns'!$E:$E,2),0,MATCH(O$10,'Asset Returns'!$E$1:$ZH$1,0)-1,$D$14)),0.9)</f>
        <v>5.7907718999999996E-2</v>
      </c>
      <c r="P19" s="37">
        <f ca="1">_xlfn.PERCENTILE.INC((OFFSET(INDEX('Asset Returns'!$E:$E,2),0,MATCH(P$10,'Asset Returns'!$E$1:$ZH$1,0)-1,$D$14)),0.9)</f>
        <v>5.3989628999999997E-2</v>
      </c>
      <c r="Q19" s="38">
        <f ca="1">_xlfn.PERCENTILE.INC((OFFSET(INDEX('Asset Returns'!$E:$E,2),0,MATCH(Q$10,'Asset Returns'!$E$1:$ZH$1,0)-1,$D$14)),0.9)</f>
        <v>0.13727843000000001</v>
      </c>
      <c r="R19" s="111"/>
      <c r="S19" s="382"/>
    </row>
    <row r="20" spans="2:19" ht="15.75" thickBot="1">
      <c r="B20" s="381"/>
      <c r="C20" s="96"/>
      <c r="D20" s="96"/>
      <c r="E20" s="96"/>
      <c r="F20" s="96"/>
      <c r="G20" s="96"/>
      <c r="H20" s="96"/>
      <c r="I20" s="96"/>
      <c r="J20" s="96"/>
      <c r="K20" s="96"/>
      <c r="L20" s="39" t="s">
        <v>218</v>
      </c>
      <c r="M20" s="40">
        <f ca="1">_xlfn.PERCENTILE.INC((OFFSET(INDEX('Asset Returns'!$E:$E,2),0,MATCH(M$10,'Asset Returns'!$E$1:$ZH$1,0)-1,$D$14)),0.95)</f>
        <v>0.14436705</v>
      </c>
      <c r="N20" s="40">
        <f ca="1">_xlfn.PERCENTILE.INC((OFFSET(INDEX('Asset Returns'!$E:$E,2),0,MATCH(N$10,'Asset Returns'!$E$1:$ZH$1,0)-1,$D$14)),0.95)</f>
        <v>6.5165214999999943E-2</v>
      </c>
      <c r="O20" s="40">
        <f ca="1">_xlfn.PERCENTILE.INC((OFFSET(INDEX('Asset Returns'!$E:$E,2),0,MATCH(O$10,'Asset Returns'!$E$1:$ZH$1,0)-1,$D$14)),0.95)</f>
        <v>7.6010845499999979E-2</v>
      </c>
      <c r="P20" s="40">
        <f ca="1">_xlfn.PERCENTILE.INC((OFFSET(INDEX('Asset Returns'!$E:$E,2),0,MATCH(P$10,'Asset Returns'!$E$1:$ZH$1,0)-1,$D$14)),0.95)</f>
        <v>7.0449296999999994E-2</v>
      </c>
      <c r="Q20" s="41">
        <f ca="1">_xlfn.PERCENTILE.INC((OFFSET(INDEX('Asset Returns'!$E:$E,2),0,MATCH(Q$10,'Asset Returns'!$E$1:$ZH$1,0)-1,$D$14)),0.95)</f>
        <v>0.22344128499999988</v>
      </c>
      <c r="R20" s="112"/>
      <c r="S20" s="382"/>
    </row>
    <row r="21" spans="2:19" ht="15.75" thickBot="1">
      <c r="B21" s="381"/>
      <c r="C21" s="96"/>
      <c r="D21" s="96"/>
      <c r="E21" s="96"/>
      <c r="F21" s="96"/>
      <c r="G21" s="96"/>
      <c r="H21" s="96"/>
      <c r="I21" s="96"/>
      <c r="J21" s="96"/>
      <c r="K21" s="96"/>
      <c r="L21" s="36" t="s">
        <v>219</v>
      </c>
      <c r="M21" s="37">
        <f ca="1">SKEW(OFFSET(INDEX('Asset Returns'!$E:$E,2),0,MATCH(M$10,'Asset Returns'!$E$1:$ZH$1,0)-1,$D$14))</f>
        <v>0.5414412821314446</v>
      </c>
      <c r="N21" s="37">
        <f ca="1">SKEW(OFFSET(INDEX('Asset Returns'!$E:$E,2),0,MATCH(N$10,'Asset Returns'!$E$1:$ZH$1,0)-1,$D$14))</f>
        <v>-0.29701284783004905</v>
      </c>
      <c r="O21" s="37">
        <f ca="1">SKEW(OFFSET(INDEX('Asset Returns'!$E:$E,2),0,MATCH(O$10,'Asset Returns'!$E$1:$ZH$1,0)-1,$D$14))</f>
        <v>-0.37316961402154342</v>
      </c>
      <c r="P21" s="37">
        <f ca="1">SKEW(OFFSET(INDEX('Asset Returns'!$E:$E,2),0,MATCH(P$10,'Asset Returns'!$E$1:$ZH$1,0)-1,$D$14))</f>
        <v>-0.26722122412689281</v>
      </c>
      <c r="Q21" s="38">
        <f ca="1">SKEW(OFFSET(INDEX('Asset Returns'!$E:$E,2),0,MATCH(Q$10,'Asset Returns'!$E$1:$ZH$1,0)-1,$D$14))</f>
        <v>0.47825007912192241</v>
      </c>
      <c r="R21" s="111"/>
      <c r="S21" s="382"/>
    </row>
    <row r="22" spans="2:19" ht="15.75" thickBot="1">
      <c r="B22" s="381"/>
      <c r="C22" s="96"/>
      <c r="D22" s="96"/>
      <c r="E22" s="96"/>
      <c r="F22" s="96"/>
      <c r="G22" s="96"/>
      <c r="H22" s="96"/>
      <c r="I22" s="96"/>
      <c r="J22" s="96"/>
      <c r="K22" s="96"/>
      <c r="L22" s="42" t="s">
        <v>10</v>
      </c>
      <c r="M22" s="43">
        <f ca="1">KURT(OFFSET(INDEX('Asset Returns'!$E:$E,2),0,MATCH(M$10,'Asset Returns'!$E$1:$ZH$1,0)-1,$D$14))</f>
        <v>0.69604638461171131</v>
      </c>
      <c r="N22" s="43">
        <f ca="1">KURT(OFFSET(INDEX('Asset Returns'!$E:$E,2),0,MATCH(N$10,'Asset Returns'!$E$1:$ZH$1,0)-1,$D$14))</f>
        <v>0.60382282726975989</v>
      </c>
      <c r="O22" s="43">
        <f ca="1">KURT(OFFSET(INDEX('Asset Returns'!$E:$E,2),0,MATCH(O$10,'Asset Returns'!$E$1:$ZH$1,0)-1,$D$14))</f>
        <v>0.68328076229606527</v>
      </c>
      <c r="P22" s="43">
        <f ca="1">KURT(OFFSET(INDEX('Asset Returns'!$E:$E,2),0,MATCH(P$10,'Asset Returns'!$E$1:$ZH$1,0)-1,$D$14))</f>
        <v>0.246376955644934</v>
      </c>
      <c r="Q22" s="44">
        <f ca="1">KURT(OFFSET(INDEX('Asset Returns'!$E:$E,2),0,MATCH(Q$10,'Asset Returns'!$E$1:$ZH$1,0)-1,$D$14))</f>
        <v>0.3815097373760663</v>
      </c>
      <c r="R22" s="112"/>
      <c r="S22" s="382"/>
    </row>
    <row r="23" spans="2:19" ht="15.75" thickBot="1">
      <c r="B23" s="381"/>
      <c r="C23" s="96"/>
      <c r="D23" s="96"/>
      <c r="E23" s="96"/>
      <c r="F23" s="96"/>
      <c r="G23" s="96"/>
      <c r="H23" s="96"/>
      <c r="I23" s="96"/>
      <c r="J23" s="96"/>
      <c r="K23" s="96"/>
      <c r="R23" s="113"/>
      <c r="S23" s="382"/>
    </row>
    <row r="24" spans="2:19" ht="15.75" thickBot="1">
      <c r="B24" s="381"/>
      <c r="C24" s="96"/>
      <c r="D24" s="96"/>
      <c r="E24" s="96"/>
      <c r="F24" s="96"/>
      <c r="G24" s="96"/>
      <c r="H24" s="96"/>
      <c r="I24" s="96"/>
      <c r="J24" s="96"/>
      <c r="K24" s="96"/>
      <c r="L24" s="449" t="s">
        <v>209</v>
      </c>
      <c r="M24" s="450"/>
      <c r="N24" s="450"/>
      <c r="O24" s="450"/>
      <c r="P24" s="450"/>
      <c r="Q24" s="451"/>
      <c r="R24" s="170"/>
      <c r="S24" s="382"/>
    </row>
    <row r="25" spans="2:19" ht="15.75" thickBot="1">
      <c r="B25" s="381"/>
      <c r="C25" s="96"/>
      <c r="D25" s="96"/>
      <c r="E25" s="96"/>
      <c r="F25" s="96"/>
      <c r="G25" s="96"/>
      <c r="H25" s="96"/>
      <c r="I25" s="96"/>
      <c r="J25" s="96"/>
      <c r="K25" s="96"/>
      <c r="L25" s="59" t="s">
        <v>130</v>
      </c>
      <c r="M25" s="253" t="str">
        <f>F10</f>
        <v>US GI World Precious Minerals</v>
      </c>
      <c r="N25" s="253" t="str">
        <f>F11</f>
        <v>iShares MSCI World ETF</v>
      </c>
      <c r="O25" s="253" t="str">
        <f>F12</f>
        <v>RobecoSAM Sustainable EE</v>
      </c>
      <c r="P25" s="253" t="str">
        <f>F13</f>
        <v>UniNachhaltig Aktien G</v>
      </c>
      <c r="Q25" s="254" t="str">
        <f>F14</f>
        <v>ProShares UltraShort Oil &amp; Gas</v>
      </c>
      <c r="R25" s="95"/>
      <c r="S25" s="382"/>
    </row>
    <row r="26" spans="2:19" ht="15.75" thickBot="1">
      <c r="B26" s="381"/>
      <c r="C26" s="96"/>
      <c r="D26" s="96"/>
      <c r="E26" s="96"/>
      <c r="F26" s="96"/>
      <c r="G26" s="96"/>
      <c r="H26" s="96"/>
      <c r="I26" s="96"/>
      <c r="J26" s="96"/>
      <c r="K26" s="96"/>
      <c r="L26" s="45" t="str">
        <f>F10</f>
        <v>US GI World Precious Minerals</v>
      </c>
      <c r="M26" s="46">
        <v>1</v>
      </c>
      <c r="N26" s="88"/>
      <c r="O26" s="88"/>
      <c r="P26" s="88"/>
      <c r="Q26" s="89"/>
      <c r="R26" s="111"/>
      <c r="S26" s="382"/>
    </row>
    <row r="27" spans="2:19" ht="15.75" thickBot="1">
      <c r="B27" s="381"/>
      <c r="C27" s="96"/>
      <c r="D27" s="96"/>
      <c r="E27" s="96"/>
      <c r="F27" s="96"/>
      <c r="G27" s="96"/>
      <c r="H27" s="96"/>
      <c r="I27" s="96"/>
      <c r="J27" s="96"/>
      <c r="K27" s="96"/>
      <c r="L27" s="39" t="str">
        <f t="shared" ref="L27:L30" si="0">F11</f>
        <v>iShares MSCI World ETF</v>
      </c>
      <c r="M27" s="40">
        <f ca="1">CORREL(OFFSET(INDEX('Asset Returns'!$E:$E,2),0,MATCH(M$25,'Asset Returns'!$E$1:$ZH$1,0)-1,$D$14),OFFSET(INDEX('Asset Returns'!$E:$E,2),0,MATCH($L27,'Asset Returns'!$E$1:$ZH$1,0)-1,$D$14))</f>
        <v>0.27659606637170636</v>
      </c>
      <c r="N27" s="48">
        <v>1</v>
      </c>
      <c r="O27" s="40"/>
      <c r="P27" s="40"/>
      <c r="Q27" s="41"/>
      <c r="R27" s="112"/>
      <c r="S27" s="382"/>
    </row>
    <row r="28" spans="2:19" ht="15.75" thickBot="1">
      <c r="B28" s="381"/>
      <c r="C28" s="96"/>
      <c r="D28" s="96"/>
      <c r="E28" s="96"/>
      <c r="F28" s="96"/>
      <c r="G28" s="96"/>
      <c r="H28" s="96"/>
      <c r="I28" s="96"/>
      <c r="J28" s="96"/>
      <c r="K28" s="96"/>
      <c r="L28" s="36" t="str">
        <f t="shared" si="0"/>
        <v>RobecoSAM Sustainable EE</v>
      </c>
      <c r="M28" s="37">
        <f ca="1">CORREL(OFFSET(INDEX('Asset Returns'!$E:$E,2),0,MATCH(M$25,'Asset Returns'!$E$1:$ZH$1,0)-1,$D$14),OFFSET(INDEX('Asset Returns'!$E:$E,2),0,MATCH($L28,'Asset Returns'!$E$1:$ZH$1,0)-1,$D$14))</f>
        <v>0.29679794551644534</v>
      </c>
      <c r="N28" s="37">
        <f ca="1">CORREL(OFFSET(INDEX('Asset Returns'!$E:$E,2),0,MATCH(N$25,'Asset Returns'!$E$1:$ZH$1,0)-1,$D$14),OFFSET(INDEX('Asset Returns'!$E:$E,2),0,MATCH($L28,'Asset Returns'!$E$1:$ZH$1,0)-1,$D$14))</f>
        <v>0.91370636518018777</v>
      </c>
      <c r="O28" s="49">
        <v>1</v>
      </c>
      <c r="P28" s="90"/>
      <c r="Q28" s="91"/>
      <c r="R28" s="111"/>
      <c r="S28" s="382"/>
    </row>
    <row r="29" spans="2:19" ht="15.75" thickBot="1">
      <c r="B29" s="381"/>
      <c r="C29" s="96"/>
      <c r="D29" s="96"/>
      <c r="E29" s="96"/>
      <c r="F29" s="96"/>
      <c r="G29" s="96"/>
      <c r="H29" s="96"/>
      <c r="I29" s="96"/>
      <c r="J29" s="96"/>
      <c r="K29" s="96"/>
      <c r="L29" s="39" t="str">
        <f t="shared" si="0"/>
        <v>UniNachhaltig Aktien G</v>
      </c>
      <c r="M29" s="40">
        <f ca="1">CORREL(OFFSET(INDEX('Asset Returns'!$E:$E,2),0,MATCH(M$25,'Asset Returns'!$E$1:$ZH$1,0)-1,$D$14),OFFSET(INDEX('Asset Returns'!$E:$E,2),0,MATCH($L29,'Asset Returns'!$E$1:$ZH$1,0)-1,$D$14))</f>
        <v>0.27272089795866938</v>
      </c>
      <c r="N29" s="40">
        <f ca="1">CORREL(OFFSET(INDEX('Asset Returns'!$E:$E,2),0,MATCH(N$25,'Asset Returns'!$E$1:$ZH$1,0)-1,$D$14),OFFSET(INDEX('Asset Returns'!$E:$E,2),0,MATCH($L29,'Asset Returns'!$E$1:$ZH$1,0)-1,$D$14))</f>
        <v>0.96602055977561341</v>
      </c>
      <c r="O29" s="40">
        <f ca="1">CORREL(OFFSET(INDEX('Asset Returns'!$E:$E,2),0,MATCH(O$25,'Asset Returns'!$E$1:$ZH$1,0)-1,$D$14),OFFSET(INDEX('Asset Returns'!$E:$E,2),0,MATCH($L29,'Asset Returns'!$E$1:$ZH$1,0)-1,$D$14))</f>
        <v>0.91220084285658476</v>
      </c>
      <c r="P29" s="48">
        <v>1</v>
      </c>
      <c r="Q29" s="41"/>
      <c r="R29" s="112"/>
      <c r="S29" s="382"/>
    </row>
    <row r="30" spans="2:19" ht="15.75" thickBot="1">
      <c r="B30" s="381"/>
      <c r="C30" s="96"/>
      <c r="D30" s="96"/>
      <c r="E30" s="96"/>
      <c r="F30" s="96"/>
      <c r="G30" s="96"/>
      <c r="H30" s="96"/>
      <c r="I30" s="96"/>
      <c r="J30" s="96"/>
      <c r="K30" s="96"/>
      <c r="L30" s="50" t="str">
        <f t="shared" si="0"/>
        <v>ProShares UltraShort Oil &amp; Gas</v>
      </c>
      <c r="M30" s="51">
        <f ca="1">CORREL(OFFSET(INDEX('Asset Returns'!$E:$E,2),0,MATCH(M$25,'Asset Returns'!$E$1:$ZH$1,0)-1,$D$14),OFFSET(INDEX('Asset Returns'!$E:$E,2),0,MATCH($L30,'Asset Returns'!$E$1:$ZH$1,0)-1,$D$14))</f>
        <v>-0.35716194247429806</v>
      </c>
      <c r="N30" s="51">
        <f ca="1">CORREL(OFFSET(INDEX('Asset Returns'!$E:$E,2),0,MATCH(N$25,'Asset Returns'!$E$1:$ZH$1,0)-1,$D$14),OFFSET(INDEX('Asset Returns'!$E:$E,2),0,MATCH($L30,'Asset Returns'!$E$1:$ZH$1,0)-1,$D$14))</f>
        <v>-0.74388236175615086</v>
      </c>
      <c r="O30" s="51">
        <f ca="1">CORREL(OFFSET(INDEX('Asset Returns'!$E:$E,2),0,MATCH(O$25,'Asset Returns'!$E$1:$ZH$1,0)-1,$D$14),OFFSET(INDEX('Asset Returns'!$E:$E,2),0,MATCH($L30,'Asset Returns'!$E$1:$ZH$1,0)-1,$D$14))</f>
        <v>-0.62949127662473447</v>
      </c>
      <c r="P30" s="51">
        <f ca="1">CORREL(OFFSET(INDEX('Asset Returns'!$E:$E,2),0,MATCH(P$25,'Asset Returns'!$E$1:$ZH$1,0)-1,$D$14),OFFSET(INDEX('Asset Returns'!$E:$E,2),0,MATCH($L30,'Asset Returns'!$E$1:$ZH$1,0)-1,$D$14))</f>
        <v>-0.67365533386647869</v>
      </c>
      <c r="Q30" s="52">
        <v>1</v>
      </c>
      <c r="R30" s="114"/>
      <c r="S30" s="382"/>
    </row>
    <row r="31" spans="2:19" ht="15.75" thickBot="1">
      <c r="B31" s="381"/>
      <c r="C31" s="96"/>
      <c r="D31" s="96"/>
      <c r="E31" s="96"/>
      <c r="F31" s="96"/>
      <c r="G31" s="96"/>
      <c r="H31" s="96"/>
      <c r="I31" s="96"/>
      <c r="J31" s="96"/>
      <c r="K31" s="96"/>
      <c r="L31" s="96"/>
      <c r="M31" s="96"/>
      <c r="N31" s="96"/>
      <c r="O31" s="96"/>
      <c r="P31" s="96"/>
      <c r="Q31" s="96"/>
      <c r="R31" s="96"/>
      <c r="S31" s="382"/>
    </row>
    <row r="32" spans="2:19" ht="15.75" thickBot="1">
      <c r="B32" s="381"/>
      <c r="C32" s="96"/>
      <c r="D32" s="96"/>
      <c r="E32" s="96"/>
      <c r="F32" s="96"/>
      <c r="G32" s="96"/>
      <c r="H32" s="96"/>
      <c r="I32" s="96"/>
      <c r="J32" s="96"/>
      <c r="K32" s="96"/>
      <c r="L32" s="449" t="s">
        <v>210</v>
      </c>
      <c r="M32" s="450"/>
      <c r="N32" s="450"/>
      <c r="O32" s="450"/>
      <c r="P32" s="450"/>
      <c r="Q32" s="450"/>
      <c r="R32" s="451"/>
      <c r="S32" s="382"/>
    </row>
    <row r="33" spans="2:19" ht="15.75" thickBot="1">
      <c r="B33" s="381"/>
      <c r="C33" s="96"/>
      <c r="D33" s="96"/>
      <c r="E33" s="96"/>
      <c r="F33" s="96"/>
      <c r="G33" s="96"/>
      <c r="H33" s="96"/>
      <c r="I33" s="96"/>
      <c r="J33" s="96"/>
      <c r="K33" s="96"/>
      <c r="L33" s="59" t="s">
        <v>211</v>
      </c>
      <c r="M33" s="62" t="s">
        <v>11</v>
      </c>
      <c r="N33" s="62" t="s">
        <v>158</v>
      </c>
      <c r="O33" s="60" t="s">
        <v>12</v>
      </c>
      <c r="P33" s="60" t="s">
        <v>13</v>
      </c>
      <c r="Q33" s="60" t="s">
        <v>14</v>
      </c>
      <c r="R33" s="304" t="s">
        <v>22</v>
      </c>
      <c r="S33" s="382"/>
    </row>
    <row r="34" spans="2:19">
      <c r="B34" s="381"/>
      <c r="C34" s="96"/>
      <c r="D34" s="96"/>
      <c r="E34" s="96"/>
      <c r="F34" s="96"/>
      <c r="G34" s="96"/>
      <c r="H34" s="96"/>
      <c r="I34" s="96"/>
      <c r="J34" s="96"/>
      <c r="K34" s="96"/>
      <c r="L34" s="68" t="str">
        <f>F10</f>
        <v>US GI World Precious Minerals</v>
      </c>
      <c r="M34" s="69">
        <f ca="1">INDEX(LINEST(OFFSET(INDEX('AC4'!$E:$E,2),0,MATCH($L34,'AC4'!$E$1:$AC$1,0)-1,$D$14),'AC2'!$F$2:$J$109,1,),19-COLUMN())</f>
        <v>-5.7593402152083138E-3</v>
      </c>
      <c r="N34" s="69">
        <f ca="1">INDEX(LINEST(OFFSET(INDEX('AC4'!$E:$E,2),0,MATCH($L34,'AC4'!$E$1:$AC$1,0)-1,$D$14),'AC2'!$F$2:$J$109,1,),19-COLUMN())</f>
        <v>0.68434479971935358</v>
      </c>
      <c r="O34" s="69">
        <f ca="1">INDEX(LINEST(OFFSET(INDEX('AC4'!$E:$E,2),0,MATCH($L34,'AC4'!$E$1:$AC$1,0)-1,$D$14),'AC2'!$F$2:$J$109,1,),19-COLUMN())</f>
        <v>1.3609847249976792</v>
      </c>
      <c r="P34" s="69">
        <f ca="1">INDEX(LINEST(OFFSET(INDEX('AC4'!$E:$E,2),0,MATCH($L34,'AC4'!$E$1:$AC$1,0)-1,$D$14),'AC2'!$F$2:$J$109,1,),19-COLUMN())</f>
        <v>-0.79438672184837722</v>
      </c>
      <c r="Q34" s="69">
        <f ca="1">INDEX(LINEST(OFFSET(INDEX('AC4'!$E:$E,2),0,MATCH($L34,'AC4'!$E$1:$AC$1,0)-1,$D$14),'AC2'!$F$2:$J$109,1,),19-COLUMN())</f>
        <v>-0.16014180817680845</v>
      </c>
      <c r="R34" s="305">
        <f ca="1">INDEX(LINEST(OFFSET(INDEX('AC4'!$E:$E,2),0,MATCH($L34,'AC4'!$E$1:$AC$1,0)-1,$D$14),'AC2'!$F$2:$J$109,1,),19-COLUMN())</f>
        <v>2.5919346055080732</v>
      </c>
      <c r="S34" s="382"/>
    </row>
    <row r="35" spans="2:19" ht="15.75" thickBot="1">
      <c r="B35" s="381"/>
      <c r="C35" s="96"/>
      <c r="D35" s="96"/>
      <c r="E35" s="96"/>
      <c r="F35" s="96"/>
      <c r="G35" s="96"/>
      <c r="H35" s="96"/>
      <c r="I35" s="96"/>
      <c r="J35" s="96"/>
      <c r="K35" s="96"/>
      <c r="L35" s="73" t="s">
        <v>222</v>
      </c>
      <c r="M35" s="74">
        <f ca="1">_xlfn.T.DIST.2T(ABS(M34/INDEX(LINEST(OFFSET(INDEX('AC4'!$E:$E,2),0,MATCH($L34,'AC4'!$E$1:$AC$1,0)-1,$D$14),'AC2'!$F$2:$J$109,1,1),2,19-COLUMN())),INDEX(LINEST(OFFSET(INDEX('AC4'!$E:$E,2),0,MATCH($L34,'AC4'!$E$1:$AC$1,0)-1,$D$14),'AC2'!$F$2:$J$109,1,1),4,2))</f>
        <v>0.43486345795080261</v>
      </c>
      <c r="N35" s="74">
        <f ca="1">_xlfn.T.DIST.2T(ABS(N34/INDEX(LINEST(OFFSET(INDEX('AC4'!$E:$E,2),0,MATCH($L34,'AC4'!$E$1:$AC$1,0)-1,$D$14),'AC2'!$F$2:$J$109,1,1),2,19-COLUMN())),INDEX(LINEST(OFFSET(INDEX('AC4'!$E:$E,2),0,MATCH($L34,'AC4'!$E$1:$AC$1,0)-1,$D$14),'AC2'!$F$2:$J$109,1,1),4,2))</f>
        <v>3.683188344073792E-4</v>
      </c>
      <c r="O35" s="74">
        <f ca="1">_xlfn.T.DIST.2T(ABS(O34/INDEX(LINEST(OFFSET(INDEX('AC4'!$E:$E,2),0,MATCH($L34,'AC4'!$E$1:$AC$1,0)-1,$D$14),'AC2'!$F$2:$J$109,1,1),2,19-COLUMN())),INDEX(LINEST(OFFSET(INDEX('AC4'!$E:$E,2),0,MATCH($L34,'AC4'!$E$1:$AC$1,0)-1,$D$14),'AC2'!$F$2:$J$109,1,1),4,2))</f>
        <v>1.3155177685775295E-2</v>
      </c>
      <c r="P35" s="74">
        <f ca="1">_xlfn.T.DIST.2T(ABS(P34/INDEX(LINEST(OFFSET(INDEX('AC4'!$E:$E,2),0,MATCH($L34,'AC4'!$E$1:$AC$1,0)-1,$D$14),'AC2'!$F$2:$J$109,1,1),2,19-COLUMN())),INDEX(LINEST(OFFSET(INDEX('AC4'!$E:$E,2),0,MATCH($L34,'AC4'!$E$1:$AC$1,0)-1,$D$14),'AC2'!$F$2:$J$109,1,1),4,2))</f>
        <v>9.081674270367103E-2</v>
      </c>
      <c r="Q35" s="74">
        <f ca="1">_xlfn.T.DIST.2T(ABS(Q34/INDEX(LINEST(OFFSET(INDEX('AC4'!$E:$E,2),0,MATCH($L34,'AC4'!$E$1:$AC$1,0)-1,$D$14),'AC2'!$F$2:$J$109,1,1),2,19-COLUMN())),INDEX(LINEST(OFFSET(INDEX('AC4'!$E:$E,2),0,MATCH($L34,'AC4'!$E$1:$AC$1,0)-1,$D$14),'AC2'!$F$2:$J$109,1,1),4,2))</f>
        <v>0.62602783709803012</v>
      </c>
      <c r="R35" s="310">
        <f ca="1">_xlfn.T.DIST.2T(ABS(R34/INDEX(LINEST(OFFSET(INDEX('AC4'!$E:$E,2),0,MATCH($L34,'AC4'!$E$1:$AC$1,0)-1,$D$14),'AC2'!$F$2:$J$109,1,1),2,19-COLUMN())),INDEX(LINEST(OFFSET(INDEX('AC4'!$E:$E,2),0,MATCH($L34,'AC4'!$E$1:$AC$1,0)-1,$D$14),'AC2'!$F$2:$J$109,1,1),4,2))</f>
        <v>5.9888143680658978E-9</v>
      </c>
      <c r="S35" s="382"/>
    </row>
    <row r="36" spans="2:19">
      <c r="B36" s="381"/>
      <c r="C36" s="96"/>
      <c r="D36" s="96"/>
      <c r="E36" s="96"/>
      <c r="F36" s="96"/>
      <c r="G36" s="96"/>
      <c r="H36" s="96"/>
      <c r="I36" s="96"/>
      <c r="J36" s="96"/>
      <c r="K36" s="96"/>
      <c r="L36" s="78" t="str">
        <f>F11</f>
        <v>iShares MSCI World ETF</v>
      </c>
      <c r="M36" s="79">
        <f ca="1">INDEX(LINEST(OFFSET(INDEX('AC4'!$E:$E,2),0,MATCH($L36,'AC4'!$E$1:$AC$1,0)-1,$D$14),'AC2'!$F$2:$J$109,1,),19-COLUMN())</f>
        <v>-5.464872786851969E-4</v>
      </c>
      <c r="N36" s="79">
        <f ca="1">INDEX(LINEST(OFFSET(INDEX('AC4'!$E:$E,2),0,MATCH($L36,'AC4'!$E$1:$AC$1,0)-1,$D$14),'AC2'!$F$2:$J$109,1,),19-COLUMN())</f>
        <v>0.98892029558929229</v>
      </c>
      <c r="O36" s="79">
        <f ca="1">INDEX(LINEST(OFFSET(INDEX('AC4'!$E:$E,2),0,MATCH($L36,'AC4'!$E$1:$AC$1,0)-1,$D$14),'AC2'!$F$2:$J$109,1,),19-COLUMN())</f>
        <v>-0.18240973348197148</v>
      </c>
      <c r="P36" s="79">
        <f ca="1">INDEX(LINEST(OFFSET(INDEX('AC4'!$E:$E,2),0,MATCH($L36,'AC4'!$E$1:$AC$1,0)-1,$D$14),'AC2'!$F$2:$J$109,1,),19-COLUMN())</f>
        <v>-1.5371934526543727E-2</v>
      </c>
      <c r="Q36" s="79">
        <f ca="1">INDEX(LINEST(OFFSET(INDEX('AC4'!$E:$E,2),0,MATCH($L36,'AC4'!$E$1:$AC$1,0)-1,$D$14),'AC2'!$F$2:$J$109,1,),19-COLUMN())</f>
        <v>1.29001117996244E-2</v>
      </c>
      <c r="R36" s="307">
        <f ca="1">INDEX(LINEST(OFFSET(INDEX('AC4'!$E:$E,2),0,MATCH($L36,'AC4'!$E$1:$AC$1,0)-1,$D$14),'AC2'!$F$2:$J$109,1,),19-COLUMN())</f>
        <v>1.3378677483181089E-2</v>
      </c>
      <c r="S36" s="382"/>
    </row>
    <row r="37" spans="2:19" ht="15.75" thickBot="1">
      <c r="B37" s="381"/>
      <c r="C37" s="96"/>
      <c r="D37" s="96"/>
      <c r="E37" s="96"/>
      <c r="F37" s="96"/>
      <c r="G37" s="96"/>
      <c r="H37" s="96"/>
      <c r="I37" s="96"/>
      <c r="J37" s="96"/>
      <c r="K37" s="96"/>
      <c r="L37" s="81" t="s">
        <v>222</v>
      </c>
      <c r="M37" s="82">
        <f ca="1">_xlfn.T.DIST.2T(ABS(M36/INDEX(LINEST(OFFSET(INDEX('AC4'!$E:$E,2),0,MATCH($L36,'AC4'!$E$1:$AC$1,0)-1,$D$14),'AC2'!$F$2:$J$109,1,1),2,19-COLUMN())),INDEX(LINEST(OFFSET(INDEX('AC4'!$E:$E,2),0,MATCH($L36,'AC4'!$E$1:$AC$1,0)-1,$D$14),'AC2'!$F$2:$J$109,1,1),4,2))</f>
        <v>6.979434784604866E-3</v>
      </c>
      <c r="N37" s="82">
        <f ca="1">_xlfn.T.DIST.2T(ABS(N36/INDEX(LINEST(OFFSET(INDEX('AC4'!$E:$E,2),0,MATCH($L36,'AC4'!$E$1:$AC$1,0)-1,$D$14),'AC2'!$F$2:$J$109,1,1),2,19-COLUMN())),INDEX(LINEST(OFFSET(INDEX('AC4'!$E:$E,2),0,MATCH($L36,'AC4'!$E$1:$AC$1,0)-1,$D$14),'AC2'!$F$2:$J$109,1,1),4,2))</f>
        <v>1.6504983263658725E-133</v>
      </c>
      <c r="O37" s="82">
        <f ca="1">_xlfn.T.DIST.2T(ABS(O36/INDEX(LINEST(OFFSET(INDEX('AC4'!$E:$E,2),0,MATCH($L36,'AC4'!$E$1:$AC$1,0)-1,$D$14),'AC2'!$F$2:$J$109,1,1),2,19-COLUMN())),INDEX(LINEST(OFFSET(INDEX('AC4'!$E:$E,2),0,MATCH($L36,'AC4'!$E$1:$AC$1,0)-1,$D$14),'AC2'!$F$2:$J$109,1,1),4,2))</f>
        <v>2.4176726344724206E-22</v>
      </c>
      <c r="P37" s="82">
        <f ca="1">_xlfn.T.DIST.2T(ABS(P36/INDEX(LINEST(OFFSET(INDEX('AC4'!$E:$E,2),0,MATCH($L36,'AC4'!$E$1:$AC$1,0)-1,$D$14),'AC2'!$F$2:$J$109,1,1),2,19-COLUMN())),INDEX(LINEST(OFFSET(INDEX('AC4'!$E:$E,2),0,MATCH($L36,'AC4'!$E$1:$AC$1,0)-1,$D$14),'AC2'!$F$2:$J$109,1,1),4,2))</f>
        <v>0.22419556794180664</v>
      </c>
      <c r="Q37" s="82">
        <f ca="1">_xlfn.T.DIST.2T(ABS(Q36/INDEX(LINEST(OFFSET(INDEX('AC4'!$E:$E,2),0,MATCH($L36,'AC4'!$E$1:$AC$1,0)-1,$D$14),'AC2'!$F$2:$J$109,1,1),2,19-COLUMN())),INDEX(LINEST(OFFSET(INDEX('AC4'!$E:$E,2),0,MATCH($L36,'AC4'!$E$1:$AC$1,0)-1,$D$14),'AC2'!$F$2:$J$109,1,1),4,2))</f>
        <v>0.14804711247456553</v>
      </c>
      <c r="R37" s="308">
        <f ca="1">_xlfn.T.DIST.2T(ABS(R36/INDEX(LINEST(OFFSET(INDEX('AC4'!$E:$E,2),0,MATCH($L36,'AC4'!$E$1:$AC$1,0)-1,$D$14),'AC2'!$F$2:$J$109,1,1),2,19-COLUMN())),INDEX(LINEST(OFFSET(INDEX('AC4'!$E:$E,2),0,MATCH($L36,'AC4'!$E$1:$AC$1,0)-1,$D$14),'AC2'!$F$2:$J$109,1,1),4,2))</f>
        <v>0.22766687588446879</v>
      </c>
      <c r="S37" s="382"/>
    </row>
    <row r="38" spans="2:19">
      <c r="B38" s="381"/>
      <c r="C38" s="96"/>
      <c r="D38" s="96"/>
      <c r="E38" s="96"/>
      <c r="F38" s="96"/>
      <c r="G38" s="96"/>
      <c r="H38" s="96"/>
      <c r="I38" s="96"/>
      <c r="J38" s="96"/>
      <c r="K38" s="96"/>
      <c r="L38" s="75" t="str">
        <f>F12</f>
        <v>RobecoSAM Sustainable EE</v>
      </c>
      <c r="M38" s="76">
        <f ca="1">INDEX(LINEST(OFFSET(INDEX('AC4'!$E:$E,2),0,MATCH($L38,'AC4'!$E$1:$AC$1,0)-1,$D$14),'AC2'!$F$2:$J$109,1,),19-COLUMN())</f>
        <v>-3.3678427470593985E-3</v>
      </c>
      <c r="N38" s="76">
        <f ca="1">INDEX(LINEST(OFFSET(INDEX('AC4'!$E:$E,2),0,MATCH($L38,'AC4'!$E$1:$AC$1,0)-1,$D$14),'AC2'!$F$2:$J$109,1,),19-COLUMN())</f>
        <v>1.2028456911806036</v>
      </c>
      <c r="O38" s="76">
        <f ca="1">INDEX(LINEST(OFFSET(INDEX('AC4'!$E:$E,2),0,MATCH($L38,'AC4'!$E$1:$AC$1,0)-1,$D$14),'AC2'!$F$2:$J$109,1,),19-COLUMN())</f>
        <v>-0.18760142991740975</v>
      </c>
      <c r="P38" s="76">
        <f ca="1">INDEX(LINEST(OFFSET(INDEX('AC4'!$E:$E,2),0,MATCH($L38,'AC4'!$E$1:$AC$1,0)-1,$D$14),'AC2'!$F$2:$J$109,1,),19-COLUMN())</f>
        <v>1.8374414309244196E-3</v>
      </c>
      <c r="Q38" s="76">
        <f ca="1">INDEX(LINEST(OFFSET(INDEX('AC4'!$E:$E,2),0,MATCH($L38,'AC4'!$E$1:$AC$1,0)-1,$D$14),'AC2'!$F$2:$J$109,1,),19-COLUMN())</f>
        <v>-0.21099315420928327</v>
      </c>
      <c r="R38" s="309">
        <f ca="1">INDEX(LINEST(OFFSET(INDEX('AC4'!$E:$E,2),0,MATCH($L38,'AC4'!$E$1:$AC$1,0)-1,$D$14),'AC2'!$F$2:$J$109,1,),19-COLUMN())</f>
        <v>-0.15972963753204919</v>
      </c>
      <c r="S38" s="382"/>
    </row>
    <row r="39" spans="2:19" ht="15.75" thickBot="1">
      <c r="B39" s="381"/>
      <c r="C39" s="96"/>
      <c r="D39" s="96"/>
      <c r="E39" s="96"/>
      <c r="F39" s="96"/>
      <c r="G39" s="96"/>
      <c r="H39" s="96"/>
      <c r="I39" s="96"/>
      <c r="J39" s="96"/>
      <c r="K39" s="96"/>
      <c r="L39" s="101" t="s">
        <v>222</v>
      </c>
      <c r="M39" s="74">
        <f ca="1">_xlfn.T.DIST.2T(ABS(M38/INDEX(LINEST(OFFSET(INDEX('AC4'!$E:$E,2),0,MATCH($L38,'AC4'!$E$1:$AC$1,0)-1,$D$14),'AC2'!$F$2:$J$109,1,1),2,19-COLUMN())),INDEX(LINEST(OFFSET(INDEX('AC4'!$E:$E,2),0,MATCH($L38,'AC4'!$E$1:$AC$1,0)-1,$D$14),'AC2'!$F$2:$J$109,1,1),4,2))</f>
        <v>8.6406797127831531E-2</v>
      </c>
      <c r="N39" s="74">
        <f ca="1">_xlfn.T.DIST.2T(ABS(N38/INDEX(LINEST(OFFSET(INDEX('AC4'!$E:$E,2),0,MATCH($L38,'AC4'!$E$1:$AC$1,0)-1,$D$14),'AC2'!$F$2:$J$109,1,1),2,19-COLUMN())),INDEX(LINEST(OFFSET(INDEX('AC4'!$E:$E,2),0,MATCH($L38,'AC4'!$E$1:$AC$1,0)-1,$D$14),'AC2'!$F$2:$J$109,1,1),4,2))</f>
        <v>1.8111426020975415E-44</v>
      </c>
      <c r="O39" s="74">
        <f ca="1">_xlfn.T.DIST.2T(ABS(O38/INDEX(LINEST(OFFSET(INDEX('AC4'!$E:$E,2),0,MATCH($L38,'AC4'!$E$1:$AC$1,0)-1,$D$14),'AC2'!$F$2:$J$109,1,1),2,19-COLUMN())),INDEX(LINEST(OFFSET(INDEX('AC4'!$E:$E,2),0,MATCH($L38,'AC4'!$E$1:$AC$1,0)-1,$D$14),'AC2'!$F$2:$J$109,1,1),4,2))</f>
        <v>0.19186294927823516</v>
      </c>
      <c r="P39" s="74">
        <f ca="1">_xlfn.T.DIST.2T(ABS(P38/INDEX(LINEST(OFFSET(INDEX('AC4'!$E:$E,2),0,MATCH($L38,'AC4'!$E$1:$AC$1,0)-1,$D$14),'AC2'!$F$2:$J$109,1,1),2,19-COLUMN())),INDEX(LINEST(OFFSET(INDEX('AC4'!$E:$E,2),0,MATCH($L38,'AC4'!$E$1:$AC$1,0)-1,$D$14),'AC2'!$F$2:$J$109,1,1),4,2))</f>
        <v>0.98813018046627388</v>
      </c>
      <c r="Q39" s="74">
        <f ca="1">_xlfn.T.DIST.2T(ABS(Q38/INDEX(LINEST(OFFSET(INDEX('AC4'!$E:$E,2),0,MATCH($L38,'AC4'!$E$1:$AC$1,0)-1,$D$14),'AC2'!$F$2:$J$109,1,1),2,19-COLUMN())),INDEX(LINEST(OFFSET(INDEX('AC4'!$E:$E,2),0,MATCH($L38,'AC4'!$E$1:$AC$1,0)-1,$D$14),'AC2'!$F$2:$J$109,1,1),4,2))</f>
        <v>1.6748087019029859E-2</v>
      </c>
      <c r="R39" s="310">
        <f ca="1">_xlfn.T.DIST.2T(ABS(R38/INDEX(LINEST(OFFSET(INDEX('AC4'!$E:$E,2),0,MATCH($L38,'AC4'!$E$1:$AC$1,0)-1,$D$14),'AC2'!$F$2:$J$109,1,1),2,19-COLUMN())),INDEX(LINEST(OFFSET(INDEX('AC4'!$E:$E,2),0,MATCH($L38,'AC4'!$E$1:$AC$1,0)-1,$D$14),'AC2'!$F$2:$J$109,1,1),4,2))</f>
        <v>0.14237448888901827</v>
      </c>
      <c r="S39" s="382"/>
    </row>
    <row r="40" spans="2:19">
      <c r="B40" s="381"/>
      <c r="C40" s="96"/>
      <c r="D40" s="96"/>
      <c r="E40" s="96"/>
      <c r="F40" s="96"/>
      <c r="G40" s="96"/>
      <c r="H40" s="96"/>
      <c r="I40" s="96"/>
      <c r="J40" s="96"/>
      <c r="K40" s="96"/>
      <c r="L40" s="78" t="str">
        <f>F13</f>
        <v>UniNachhaltig Aktien G</v>
      </c>
      <c r="M40" s="79">
        <f ca="1">INDEX(LINEST(OFFSET(INDEX('AC4'!$E:$E,2),0,MATCH($L40,'AC4'!$E$1:$AC$1,0)-1,$D$14),'AC2'!$F$2:$J$109,1,),19-COLUMN())</f>
        <v>-2.2907677954209968E-3</v>
      </c>
      <c r="N40" s="79">
        <f ca="1">INDEX(LINEST(OFFSET(INDEX('AC4'!$E:$E,2),0,MATCH($L40,'AC4'!$E$1:$AC$1,0)-1,$D$14),'AC2'!$F$2:$J$109,1,),19-COLUMN())</f>
        <v>1.0137733228517345</v>
      </c>
      <c r="O40" s="79">
        <f ca="1">INDEX(LINEST(OFFSET(INDEX('AC4'!$E:$E,2),0,MATCH($L40,'AC4'!$E$1:$AC$1,0)-1,$D$14),'AC2'!$F$2:$J$109,1,),19-COLUMN())</f>
        <v>-6.1286419042232566E-2</v>
      </c>
      <c r="P40" s="79">
        <f ca="1">INDEX(LINEST(OFFSET(INDEX('AC4'!$E:$E,2),0,MATCH($L40,'AC4'!$E$1:$AC$1,0)-1,$D$14),'AC2'!$F$2:$J$109,1,),19-COLUMN())</f>
        <v>-0.12418757193791428</v>
      </c>
      <c r="Q40" s="79">
        <f ca="1">INDEX(LINEST(OFFSET(INDEX('AC4'!$E:$E,2),0,MATCH($L40,'AC4'!$E$1:$AC$1,0)-1,$D$14),'AC2'!$F$2:$J$109,1,),19-COLUMN())</f>
        <v>-1.2032128674911718E-2</v>
      </c>
      <c r="R40" s="307">
        <f ca="1">INDEX(LINEST(OFFSET(INDEX('AC4'!$E:$E,2),0,MATCH($L40,'AC4'!$E$1:$AC$1,0)-1,$D$14),'AC2'!$F$2:$J$109,1,),19-COLUMN())</f>
        <v>-0.16887551350866659</v>
      </c>
      <c r="S40" s="382"/>
    </row>
    <row r="41" spans="2:19" ht="15.75" thickBot="1">
      <c r="B41" s="381"/>
      <c r="C41" s="96"/>
      <c r="D41" s="96"/>
      <c r="E41" s="96"/>
      <c r="F41" s="96"/>
      <c r="G41" s="96"/>
      <c r="H41" s="96"/>
      <c r="I41" s="96"/>
      <c r="J41" s="96"/>
      <c r="K41" s="96"/>
      <c r="L41" s="81" t="s">
        <v>222</v>
      </c>
      <c r="M41" s="82">
        <f ca="1">_xlfn.T.DIST.2T(ABS(M40/INDEX(LINEST(OFFSET(INDEX('AC4'!$E:$E,2),0,MATCH($L40,'AC4'!$E$1:$AC$1,0)-1,$D$14),'AC2'!$F$2:$J$109,1,1),2,19-COLUMN())),INDEX(LINEST(OFFSET(INDEX('AC4'!$E:$E,2),0,MATCH($L40,'AC4'!$E$1:$AC$1,0)-1,$D$14),'AC2'!$F$2:$J$109,1,1),4,2))</f>
        <v>1.2292813350551733E-2</v>
      </c>
      <c r="N41" s="82">
        <f ca="1">_xlfn.T.DIST.2T(ABS(N40/INDEX(LINEST(OFFSET(INDEX('AC4'!$E:$E,2),0,MATCH($L40,'AC4'!$E$1:$AC$1,0)-1,$D$14),'AC2'!$F$2:$J$109,1,1),2,19-COLUMN())),INDEX(LINEST(OFFSET(INDEX('AC4'!$E:$E,2),0,MATCH($L40,'AC4'!$E$1:$AC$1,0)-1,$D$14),'AC2'!$F$2:$J$109,1,1),4,2))</f>
        <v>9.6666654930193429E-69</v>
      </c>
      <c r="O41" s="82">
        <f ca="1">_xlfn.T.DIST.2T(ABS(O40/INDEX(LINEST(OFFSET(INDEX('AC4'!$E:$E,2),0,MATCH($L40,'AC4'!$E$1:$AC$1,0)-1,$D$14),'AC2'!$F$2:$J$109,1,1),2,19-COLUMN())),INDEX(LINEST(OFFSET(INDEX('AC4'!$E:$E,2),0,MATCH($L40,'AC4'!$E$1:$AC$1,0)-1,$D$14),'AC2'!$F$2:$J$109,1,1),4,2))</f>
        <v>0.35509969351635362</v>
      </c>
      <c r="P41" s="82">
        <f ca="1">_xlfn.T.DIST.2T(ABS(P40/INDEX(LINEST(OFFSET(INDEX('AC4'!$E:$E,2),0,MATCH($L40,'AC4'!$E$1:$AC$1,0)-1,$D$14),'AC2'!$F$2:$J$109,1,1),2,19-COLUMN())),INDEX(LINEST(OFFSET(INDEX('AC4'!$E:$E,2),0,MATCH($L40,'AC4'!$E$1:$AC$1,0)-1,$D$14),'AC2'!$F$2:$J$109,1,1),4,2))</f>
        <v>3.142826697303696E-2</v>
      </c>
      <c r="Q41" s="82">
        <f ca="1">_xlfn.T.DIST.2T(ABS(Q40/INDEX(LINEST(OFFSET(INDEX('AC4'!$E:$E,2),0,MATCH($L40,'AC4'!$E$1:$AC$1,0)-1,$D$14),'AC2'!$F$2:$J$109,1,1),2,19-COLUMN())),INDEX(LINEST(OFFSET(INDEX('AC4'!$E:$E,2),0,MATCH($L40,'AC4'!$E$1:$AC$1,0)-1,$D$14),'AC2'!$F$2:$J$109,1,1),4,2))</f>
        <v>0.76462845330631746</v>
      </c>
      <c r="R41" s="308">
        <f ca="1">_xlfn.T.DIST.2T(ABS(R40/INDEX(LINEST(OFFSET(INDEX('AC4'!$E:$E,2),0,MATCH($L40,'AC4'!$E$1:$AC$1,0)-1,$D$14),'AC2'!$F$2:$J$109,1,1),2,19-COLUMN())),INDEX(LINEST(OFFSET(INDEX('AC4'!$E:$E,2),0,MATCH($L40,'AC4'!$E$1:$AC$1,0)-1,$D$14),'AC2'!$F$2:$J$109,1,1),4,2))</f>
        <v>1.0174566496202288E-3</v>
      </c>
      <c r="S41" s="382"/>
    </row>
    <row r="42" spans="2:19">
      <c r="B42" s="381"/>
      <c r="C42" s="96"/>
      <c r="D42" s="96"/>
      <c r="E42" s="96"/>
      <c r="F42" s="96"/>
      <c r="G42" s="96"/>
      <c r="H42" s="96"/>
      <c r="I42" s="96"/>
      <c r="J42" s="96"/>
      <c r="K42" s="96"/>
      <c r="L42" s="75" t="str">
        <f>F14</f>
        <v>ProShares UltraShort Oil &amp; Gas</v>
      </c>
      <c r="M42" s="76">
        <f ca="1">INDEX(LINEST(OFFSET(INDEX('AC4'!$E:$E,2),0,MATCH($L42,'AC4'!$E$1:$AC$1,0)-1,$D$14),'AC2'!$F$2:$J$109,1,),19-COLUMN())</f>
        <v>6.3396576570653616E-4</v>
      </c>
      <c r="N42" s="76">
        <f ca="1">INDEX(LINEST(OFFSET(INDEX('AC4'!$E:$E,2),0,MATCH($L42,'AC4'!$E$1:$AC$1,0)-1,$D$14),'AC2'!$F$2:$J$109,1,),19-COLUMN())</f>
        <v>-2.1139223471116666</v>
      </c>
      <c r="O42" s="76">
        <f ca="1">INDEX(LINEST(OFFSET(INDEX('AC4'!$E:$E,2),0,MATCH($L42,'AC4'!$E$1:$AC$1,0)-1,$D$14),'AC2'!$F$2:$J$109,1,),19-COLUMN())</f>
        <v>-0.47219257647563972</v>
      </c>
      <c r="P42" s="76">
        <f ca="1">INDEX(LINEST(OFFSET(INDEX('AC4'!$E:$E,2),0,MATCH($L42,'AC4'!$E$1:$AC$1,0)-1,$D$14),'AC2'!$F$2:$J$109,1,),19-COLUMN())</f>
        <v>-0.86556003042847662</v>
      </c>
      <c r="Q42" s="76">
        <f ca="1">INDEX(LINEST(OFFSET(INDEX('AC4'!$E:$E,2),0,MATCH($L42,'AC4'!$E$1:$AC$1,0)-1,$D$14),'AC2'!$F$2:$J$109,1,),19-COLUMN())</f>
        <v>-6.5058817759858232E-3</v>
      </c>
      <c r="R42" s="309">
        <f ca="1">INDEX(LINEST(OFFSET(INDEX('AC4'!$E:$E,2),0,MATCH($L42,'AC4'!$E$1:$AC$1,0)-1,$D$14),'AC2'!$F$2:$J$109,1,),19-COLUMN())</f>
        <v>-1.9222891726906419</v>
      </c>
      <c r="S42" s="382"/>
    </row>
    <row r="43" spans="2:19" ht="15.75" thickBot="1">
      <c r="B43" s="381"/>
      <c r="C43" s="96"/>
      <c r="D43" s="96"/>
      <c r="E43" s="96"/>
      <c r="F43" s="96"/>
      <c r="G43" s="96"/>
      <c r="H43" s="96"/>
      <c r="I43" s="96"/>
      <c r="J43" s="96"/>
      <c r="K43" s="96"/>
      <c r="L43" s="70" t="s">
        <v>222</v>
      </c>
      <c r="M43" s="71">
        <f ca="1">_xlfn.T.DIST.2T(ABS(M42/INDEX(LINEST(OFFSET(INDEX('AC4'!$E:$E,2),0,MATCH($L42,'AC4'!$E$1:$AC$1,0)-1,$D$14),'AC2'!$F$2:$J$109,1,1),2,19-COLUMN())),INDEX(LINEST(OFFSET(INDEX('AC4'!$E:$E,2),0,MATCH($L42,'AC4'!$E$1:$AC$1,0)-1,$D$14),'AC2'!$F$2:$J$109,1,1),4,2))</f>
        <v>0.9201220185400959</v>
      </c>
      <c r="N43" s="71">
        <f ca="1">_xlfn.T.DIST.2T(ABS(N42/INDEX(LINEST(OFFSET(INDEX('AC4'!$E:$E,2),0,MATCH($L42,'AC4'!$E$1:$AC$1,0)-1,$D$14),'AC2'!$F$2:$J$109,1,1),2,19-COLUMN())),INDEX(LINEST(OFFSET(INDEX('AC4'!$E:$E,2),0,MATCH($L42,'AC4'!$E$1:$AC$1,0)-1,$D$14),'AC2'!$F$2:$J$109,1,1),4,2))</f>
        <v>6.3119971249967588E-24</v>
      </c>
      <c r="O43" s="71">
        <f ca="1">_xlfn.T.DIST.2T(ABS(O42/INDEX(LINEST(OFFSET(INDEX('AC4'!$E:$E,2),0,MATCH($L42,'AC4'!$E$1:$AC$1,0)-1,$D$14),'AC2'!$F$2:$J$109,1,1),2,19-COLUMN())),INDEX(LINEST(OFFSET(INDEX('AC4'!$E:$E,2),0,MATCH($L42,'AC4'!$E$1:$AC$1,0)-1,$D$14),'AC2'!$F$2:$J$109,1,1),4,2))</f>
        <v>0.31015038430350106</v>
      </c>
      <c r="P43" s="71">
        <f ca="1">_xlfn.T.DIST.2T(ABS(P42/INDEX(LINEST(OFFSET(INDEX('AC4'!$E:$E,2),0,MATCH($L42,'AC4'!$E$1:$AC$1,0)-1,$D$14),'AC2'!$F$2:$J$109,1,1),2,19-COLUMN())),INDEX(LINEST(OFFSET(INDEX('AC4'!$E:$E,2),0,MATCH($L42,'AC4'!$E$1:$AC$1,0)-1,$D$14),'AC2'!$F$2:$J$109,1,1),4,2))</f>
        <v>3.2565734354071903E-2</v>
      </c>
      <c r="Q43" s="71">
        <f ca="1">_xlfn.T.DIST.2T(ABS(Q42/INDEX(LINEST(OFFSET(INDEX('AC4'!$E:$E,2),0,MATCH($L42,'AC4'!$E$1:$AC$1,0)-1,$D$14),'AC2'!$F$2:$J$109,1,1),2,19-COLUMN())),INDEX(LINEST(OFFSET(INDEX('AC4'!$E:$E,2),0,MATCH($L42,'AC4'!$E$1:$AC$1,0)-1,$D$14),'AC2'!$F$2:$J$109,1,1),4,2))</f>
        <v>0.98158965947024557</v>
      </c>
      <c r="R43" s="311">
        <f ca="1">_xlfn.T.DIST.2T(ABS(R42/INDEX(LINEST(OFFSET(INDEX('AC4'!$E:$E,2),0,MATCH($L42,'AC4'!$E$1:$AC$1,0)-1,$D$14),'AC2'!$F$2:$J$109,1,1),2,19-COLUMN())),INDEX(LINEST(OFFSET(INDEX('AC4'!$E:$E,2),0,MATCH($L42,'AC4'!$E$1:$AC$1,0)-1,$D$14),'AC2'!$F$2:$J$109,1,1),4,2))</f>
        <v>2.9782672286215024E-7</v>
      </c>
      <c r="S43" s="382"/>
    </row>
    <row r="44" spans="2:19">
      <c r="B44" s="381"/>
      <c r="C44" s="96"/>
      <c r="D44" s="96"/>
      <c r="E44" s="96"/>
      <c r="F44" s="96"/>
      <c r="G44" s="96"/>
      <c r="H44" s="96"/>
      <c r="I44" s="96"/>
      <c r="J44" s="96"/>
      <c r="K44" s="96"/>
      <c r="L44" s="98"/>
      <c r="M44" s="99"/>
      <c r="N44" s="99"/>
      <c r="O44" s="99"/>
      <c r="P44" s="99"/>
      <c r="Q44" s="99"/>
      <c r="R44" s="99"/>
      <c r="S44" s="382"/>
    </row>
    <row r="45" spans="2:19">
      <c r="B45" s="381"/>
      <c r="C45" s="96"/>
      <c r="D45" s="96"/>
      <c r="E45" s="96"/>
      <c r="F45" s="96"/>
      <c r="G45" s="96"/>
      <c r="H45" s="96"/>
      <c r="I45" s="96"/>
      <c r="J45" s="96"/>
      <c r="K45" s="96"/>
      <c r="L45" s="95"/>
      <c r="M45" s="97"/>
      <c r="N45" s="97"/>
      <c r="O45" s="97"/>
      <c r="P45" s="97"/>
      <c r="Q45" s="97"/>
      <c r="R45" s="97"/>
      <c r="S45" s="382"/>
    </row>
    <row r="46" spans="2:19">
      <c r="B46" s="381"/>
      <c r="C46" s="96"/>
      <c r="D46" s="96"/>
      <c r="E46" s="96"/>
      <c r="F46" s="96"/>
      <c r="G46" s="96"/>
      <c r="H46" s="96"/>
      <c r="I46" s="96"/>
      <c r="J46" s="96"/>
      <c r="K46" s="96"/>
      <c r="L46" s="98"/>
      <c r="M46" s="99"/>
      <c r="N46" s="99"/>
      <c r="O46" s="99"/>
      <c r="P46" s="99"/>
      <c r="Q46" s="99"/>
      <c r="R46" s="99"/>
      <c r="S46" s="382"/>
    </row>
    <row r="47" spans="2:19">
      <c r="B47" s="381"/>
      <c r="C47" s="96"/>
      <c r="D47" s="96"/>
      <c r="E47" s="96"/>
      <c r="F47" s="96"/>
      <c r="G47" s="96"/>
      <c r="H47" s="96"/>
      <c r="I47" s="96"/>
      <c r="J47" s="96"/>
      <c r="K47" s="96"/>
      <c r="L47" s="95"/>
      <c r="M47" s="97"/>
      <c r="N47" s="100"/>
      <c r="O47" s="100"/>
      <c r="P47" s="100"/>
      <c r="Q47" s="100"/>
      <c r="R47" s="100"/>
      <c r="S47" s="382"/>
    </row>
    <row r="48" spans="2:19" ht="21.75" customHeight="1" thickBot="1">
      <c r="B48" s="393"/>
      <c r="C48" s="394"/>
      <c r="D48" s="394"/>
      <c r="E48" s="394"/>
      <c r="F48" s="394"/>
      <c r="G48" s="394"/>
      <c r="H48" s="394"/>
      <c r="I48" s="394"/>
      <c r="J48" s="394"/>
      <c r="K48" s="394"/>
      <c r="L48" s="34"/>
      <c r="M48" s="34"/>
      <c r="N48" s="34"/>
      <c r="O48" s="34"/>
      <c r="P48" s="34"/>
      <c r="Q48" s="34"/>
      <c r="R48" s="34"/>
      <c r="S48" s="395"/>
    </row>
    <row r="49" spans="2:11">
      <c r="B49" s="396"/>
      <c r="C49" s="396"/>
      <c r="D49" s="396"/>
      <c r="E49" s="396"/>
      <c r="F49" s="396"/>
      <c r="G49" s="396"/>
      <c r="H49" s="396"/>
      <c r="I49" s="396"/>
      <c r="J49" s="396"/>
      <c r="K49" s="396"/>
    </row>
  </sheetData>
  <sheetProtection algorithmName="SHA-512" hashValue="48Vv7YmdQgYDP4VrdGOIE/QSS6iPVIV6woX3tTpuoPZLxThg2Cc8AIoDpxd3FE6qnwPEzGQgAb6HKDlmIxricQ==" saltValue="kZIn8BhZbzbystpbC8fJvQ==" spinCount="100000" sheet="1" objects="1" scenarios="1"/>
  <mergeCells count="6">
    <mergeCell ref="L32:R32"/>
    <mergeCell ref="F2:N4"/>
    <mergeCell ref="C9:D9"/>
    <mergeCell ref="L9:Q9"/>
    <mergeCell ref="L24:Q24"/>
    <mergeCell ref="I9:J9"/>
  </mergeCells>
  <dataValidations count="1">
    <dataValidation type="list" allowBlank="1" showInputMessage="1" showErrorMessage="1" sqref="J10">
      <formula1>"yes,no"</formula1>
    </dataValidation>
  </dataValidations>
  <pageMargins left="0.7" right="0.7" top="0.78740157499999996" bottom="0.78740157499999996" header="0.3" footer="0.3"/>
  <pageSetup paperSize="9" orientation="portrait" r:id="rId1"/>
  <ignoredErrors>
    <ignoredError sqref="M35:R43"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'Asset Returns'!$U$1:$AC$1</xm:f>
          </x14:formula1>
          <xm:sqref>F10:F14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i = " h t t p : / / w w w . w 3 . o r g / 2 0 0 1 / X M L S c h e m a - i n s t a n c e "   x m l n s : x s d = " h t t p : / / w w w . w 3 . o r g / 2 0 0 1 / X M L S c h e m a "   x m l n s = " h t t p : / / m i c r o s o f t . d a t a . v i s u a l i z a t i o n . C l i e n t . E x c e l / 1 . 0 " > < T o u r s > < T o u r   N a m e = " T o u r   1 "   I d = " { C 9 D 4 9 B 6 3 - 8 D 7 F - 4 A C 5 - 9 2 B E - D E 0 A 5 E 7 8 3 B F C } "   T o u r I d = " 4 4 f a 7 a b 8 - 4 a 9 1 - 4 c b 8 - 8 2 8 d - 6 3 e 9 c a 0 6 9 e 6 5 "   X m l V e r = " 5 "   M i n X m l V e r = " 3 " > < D e s c r i p t i o n > H i e r   s t e h t   e i n e   B e s c h r e i b u n g   f � r   d i e   T o u r . < / D e s c r i p t i o n > < I m a g e > i V B O R w 0 K G g o A A A A N S U h E U g A A A N Q A A A B 1 C A Y A A A A 2 n s 9 T A A A A A X N S R 0 I A r s 4 c 6 Q A A A A R n Q U 1 B A A C x j w v 8 Y Q U A A A A J c E h Z c w A A A m I A A A J i A W y J d J c A A G 8 G S U R B V H h e 7 b 3 3 k 2 R X d i b 2 p f e m s r y v 6 m p v 0 d 3 w 3 g x 3 h u R w S a 6 4 G y E x F N I P i t D f o N / 0 d 0 j a i F U s x S E 5 S z e D m c H M w A w 8 G g 2 0 9 1 3 e V 2 V l p f d O 5 7 v v v c q X W V m m G 9 0 A m o u v k a j M l 5 k v 3 7 v 3 + H v O u Z b / 9 k W q j i c Y D m s d z 4 5 F k S g s 4 O b y e f 1 o A 1 2 + K k 5 3 l G H x a L d p s V i w P r e B n t E u 9 Z q w p O 2 o B y o A P 2 L R j q E m T + T c B j a y M / C 7 u 7 B y e x O L s S W c f u o E L L 4 0 5 m Y X M d Z 7 E o G A H 8 v L K y j H y / D 5 / e g a j e j f 1 B B f T i L c H 1 S / n y t t w u v U 3 i 8 i h c J 6 D a G e M J b v r W L g c B 8 q y M N W d 2 F t d g 1 9 4 / 3 q c / V a H R a r d n E 1 e f 7 5 5 5 / j p Z d e V K + b U J L P O B v X X Z f b s t j 1 F w + C o p y n b k G 2 k s b 0 z A x G j v t h t 7 i Q K a T Q 6 z 2 C e k n O 6 9 Q / a 0 K 6 t I 6 A s w f 1 n A U W b x 3 z c a A j P I 9 L H 8 3 h t d d e 1 j + l o V 6 T c 1 j 1 F / K c Y 1 8 v y / f k + u s Z K y x + H t w f a v J 5 a 5 v P 1 + U + L C 4 z i W t j a E a 9 L E c d c o 6 i T L l L P y i Q Y Q a H f G 7 T h o y M 6 4 k + G U w B r 5 G n s d j l O v m 8 L n M j Y 1 H b t M L 2 n / 6 3 / + P / V J 9 6 w q B o S x 5 V m X S / + 7 b M R x V d g X U M h m p w 2 b x I F r S Z O t J T R r p + F / l 8 F o n K H A K 2 f v g 8 P k V 4 9 Q I H W z 7 k 0 i Z C T a I x + D y / P K 1 V 5 a m c y u v s g A 1 O d P S G M T o 2 j O v X b 8 j g l 9 E d H M T K V B S 5 W B Y 3 7 9 / C 2 e f O o F a u w + V r p r b E a h L 5 R B 6 O S A 1 u W x g Z L M r Z g n J O B 9 w + D 1 b u r a F / o l c x c R F x O C 0 B e E M + x Y D l Y h k 2 h 0 2 d p 5 A p q n t d X V r H 8 O C Q X K B c q D y W 7 6 8 i 0 O W H n L A J i m B 1 Y t 0 L i v n 4 w Z x 8 i Q J I C M Z m k 7 t 2 u n D z z n V 4 / A 5 8 + t t b M p Y 5 D A w N y N i L o I I V y d K S M N K q f N + K + a k 1 X L j 6 I d b X 4 u j s i q A 7 5 E S x G E Z A 5 s X j 8 s N q N T h I Q G I 3 m J 3 X J w + L f v 1 k q l r K N B 9 7 g J + H f B 7 q 8 / r J 5 K G d v / G 6 L W R 8 + L v G t S i m 5 m v 9 4 0 G h g V 6 Z t 1 p a u x 7 1 n n 4 b 6 r l x z T J m T 7 y G I s 4 N 3 4 f T 5 o b P 0 a k I s E 6 J U Z I 7 l v 9 q l h q s d t M k C h P B b b p l S m J O g g x a 3 V q V I Z f R o b K i h A 3 J e Y S 4 6 h 5 d 8 r X M R y q V U g T 3 h w 8 / F i b 1 C h G t 4 y / / 4 s / h c I u 4 E y R X U g i J V k o m N p F c T a F v d F B p m Z J r X d j I r x i K m L 2 6 g L E z w + p 5 t S w X 4 q j I p T t Q y p R R r G U R 8 H e o 7 x k o 5 y r Y T M c Q D A b h 8 X j 0 o / t A V s b B t 1 2 K 7 4 b r 1 6 7 j 8 J H D y K V z u H X v J p 5 / 7 g X F 1 L 9 7 / / f 4 0 U 9 e x 4 f v f Y o X X 3 x e M c r v 3 / s d / v S P f w q v 1 6 u + u 7 m 5 q e Y j F A w J E + Z R r p Q R D o f U e w o G 7 T 8 w H u x L d R G e F o f 8 m N w 6 t a I S G P x x k a t K u 2 j T 1 R Z K 6 O r 0 E p X x 6 9 5 l / J S m e 1 I Y q l t M t 2 h W F w U t + N H h v P q 7 O h l F 1 3 A E d p c N t a S Y A C I V O f i W l A 1 1 i h k d 8 a U k c s E 5 G d K 6 a D q 7 m D J u Y U A X u j t E 4 p s h I 1 M Q Q n I F P I o w 9 k K 1 W s P H H 3 y M k c g Y f 1 U k n g U j p / u Q x Y q 8 a 4 E 9 2 Y V s O o / O o b C 8 0 p i 8 U q z I 9 T Z s s t x m H t 5 I g 0 n u f H F P m Z A D R 3 u R T x f g D X p g t W n f / f W v 3 8 H z z z + L S K T Z v D T D I p q 6 7 t 5 O B N a U A 7 W g U I A B G S M l i k 3 4 5 3 / + V 7 z 5 5 u s I u u R 6 R Q M s Z q 9 h o P w U L B 0 V f H z 5 H U z d W s J L f 3 Q a h 3 u f 0 7 + x H e V y B T c X P s G X H 9 z F y a f H 8 d z J N 5 U Q 2 s l E 0 6 C P N S n z o R i u B b z N N k x T i 8 s 1 d O z M I L W U z F K w w R 4 f T b r w 6 k G x C 3 e C f P R 7 x 1 B P D Z a U 3 6 M g V 1 Y R c 8 Z u 0 y 7 x 3 X v t p T E Z S m k l E 9 H H 5 1 L o G D V J w x a k F j O o d a T h d Y d h K 7 h h 8 8 h 3 d U V m S d l R 8 1 R R s 5 e w k r m F L s t B u P 0 U Z w I O W l 4 + K B N U S d V g 9 w u z u i r Y u B 9 H 1 3 g n F t a m M X t z B d 5 O D 9 b X 1 3 D + x W N i u t n h R Y / S O j m s q + e x B X E u L H U 5 r 1 t p s v 6 j f c I w e R Q z J X j l m C v o E k Z c R i 3 r Q s D X i Y 2 Z T Q R H H K j m H P A E 3 N q 1 C D K Z j J L + 3 d 3 0 C d t Q H 4 f O d F g U H q z 6 r R D R 2 R g c D g e C 3 r B 6 b R A Y x / P t t 3 + N P / v p n z a + L + e i 2 W O l F W C p o m o T U 9 T m h L U g z C j v 1 R 0 1 W G r C w D 5 l O z b h w o W L e P b Z p 9 U c 1 S o i y E T Y P C w + m n J h W J i 6 y 5 E Q 3 z W g H 3 0 w 1 D J y r 2 I h t w O N B D u 1 m u 5 3 N 6 F l P F v x v W K o s 0 N F B E m r I l H T x X W x z V c x G D g p 1 2 9 V E 5 k V 9 S v 0 h T 5 d k l 6 Y c 1 F j o 6 + 4 h r E j Y e T K c T i s X j h s 2 n H F Y D m Z b G + z 5 C W q t Z K Y K Q 7 l u z h s D u Q z e Q y M D M D e o X O V G V U 5 j 8 7 U Z i y l r 8 n 4 1 h G w 9 C P k 7 9 G P C o p W 5 K 1 J b O S n M X V n A Y l 4 B q c P P Q t X 0 S u O b g 1 D x 4 V 5 E B U 3 p Q c Z y y L s Y v x 5 I P 6 T o F U w E K V c G U 6 v M F O 5 h o 2 F D f Q e M P 2 W X N b G 6 g Y u 3 P w A 5 8 R / 6 w 8 c 1 t + Q t z J C F P 6 6 M r 1 q t Z q Y X B X 0 9 f a i L r 6 G V c x Z o p y s w C H n h p h E V f m M T U y 3 T D q D 3 / 7 2 P f z k z X 8 H n 0 l b L q a v o t N 6 E E k s y D i 7 R X P 1 I l l c E Z / V h 4 B T u 3 5 1 Q X k Z c 8 N M l j / F U h G Z b A a d n Z 3 a s Q d A q 5 Z I J B J K g F T k X v L 5 g l g F V T l v R G l p u 3 3 n 6 I s R J F F g b G G n j w q p 1 O R 9 c 3 D C j P f u u v D W k Z 2 1 1 P d O Q 4 1 0 3 s G Q p Q t 5 T w x + Z 5 c K M J h R F f u X w T e L V 2 Z K p 7 u E S H h G 0 J Y y N 4 Q g R U q q N y x w 1 8 I I B X q x n r u H i H s U b n t D m k V z U y h W M 3 B H R 9 B 1 o E M / 2 h 5 1 O q O B 7 a Y B C Y w o L 3 g x f v y Q Y q 5 s K Y Z C N Y 1 g f Q D R 6 l 3 0 + 0 + o 6 7 n 4 w W X 0 D n S j f 7 Q P 0 Z k Y B o / 3 K y 0 V H P Q o 4 m y H E s R H q 3 u x f G c d v U c D K l C x c H s Z w 8 c G 1 P t L d 5 Y x M D o g k l T G I B v F 8 r w w a V c J 4 9 1 P q f c N f P H 5 B R w 7 f l Q F F 7 6 + d A n L 0 R n 8 y c t / K a a l W w g 0 K V p G / B z R 1 L 9 5 / 7 f q H g L + A F 5 5 5 S X 9 2 z t j J X M b v b 4 j o r E 0 I U S m 5 d P a p g 0 l T 2 7 L v / v t 7 9 7 F q 3 K + v f w 9 z l O P t y E Q C C M C R / D 8 P / 9 v / 4 Q 3 X 3 o L o V A Q T r E O i F K p h I s X v 1 I m t 9 1 u w 4 m T J + Q e W g I g J o g s h b V N h L J W F M 3 p a h Z m x P V l B 9 a F B s g o t L Z f H y 2 q q F 4 7 f K 8 Y y i t S M l e 2 4 K 2 J A i x t N I K B W t I m E l b T O g w n k 3 8 M q U 6 G y g t B b + b n R A O I M 2 x J q u N E S C R q w N m n H E 1 R I b D I O Q q 1 J J Z v x X D g 2 E G R 0 t u Z Z j f w t x K b U a Q X K x g 5 M y g D X h O t d R 0 D O K O Z V a L Z 8 o k C v r r 0 N b p C n T j w z I A I C I 2 p S / m K X H s N J d 8 a L G U 3 / I 5 u d b w d S v k S n B 4 n 1 s R H 7 D 3 Y + N z q 5 D q 6 R j t R L V X 1 q G I d / / k / / x c M n f + P + P F T f h Q 2 y 0 h V 4 k J w Z Q w N D W p f 0 r E q z F c S P d n V 1 Y X o 2 g Z u 3 r 6 F 1 1 9 / d S u g Y H b G D V j q N P X a z 8 s / / O J n O H / i O c z M z I r m C m H 0 8 J C a k + 7 u b n z 0 4 c d 4 / o X n 4 B T z k H 6 l G Y w Q h p z a t V H I d X s n 1 P N W 1 I R Z f v G v v 8 S f / P S P c e / e f Q w P D 4 l l E G 7 S X m Q s m 8 2 O y 5 c v q + e n T n E 5 o y F E V U C C F o A I k H a o Z + W e f c 3 3 l 5 Z x m N m 0 4 / S A y d / c A W o p 4 f u m o Z Q / 1 G Y y t y F v Q S F V g b t X k 1 J m U E t Q + 0 Q c Y 0 q 1 G 5 p k K H A G l r g d d b G / w S i g k w x w D W 5 r W P y U D r i y Y b H / W 8 x D 8 e E Y / a t U i 2 I a t p G w G f l 9 v / 4 d G X O h u U Y o W D B 1 e Q a + g B 9 9 w g g b u R l 0 e c f V c W N d i W t K C z e W M H p 6 q K 2 5 R 9 B 0 m 5 9 a w O g Z L W i y c H 0 Z Q y f 7 m z 5 7 9 c P r C I 8 H h a D n 4 B J N l M 1 m M d o 5 h v n N O b z 1 1 h v 6 p 0 w Q Z q 9 a C 7 C p d Q P g g w 8 + w h t v v K q e K 3 B 9 h Z E x H Z a y + I o O u U 8 e k r e 2 T D E 5 l E n k U L Y W 0 d G h a X p j 7 Y e m 5 u X L V 3 H o 4 P O 4 P 3 k B Z 8 + c R q S r O Y B C j S i f 1 p / X s J a 9 h z 7 f U f X a A E 2 8 j e g G O s V P 9 O p a b m V l R Z m Q T o d T O 0 f L u J X L Z V y 7 d g P n z 5 9 V r 2 s J u V 4 y y y 4 R v U Y g q x k V O W Q O F B O a S 6 G / M K G 9 T v w O w c D D e / N u t a h W F Y l B c D 2 C N 6 t s X z l e 1 9 d J m p i J B C D O c V 0 I x e f s R M S j M R N N h m H b O T F L t M 8 q Z h J Y + H n B Y O C 0 a K k E n K W Q Y i Y y c 7 0 q P 8 I F U v l T L B a U 1 l n P T 6 r P t 6 J p U G W y z M y U 2 c y i 5 C 7 C 7 t R + 2 2 C m 5 b u r W 2 F w q / w l M + X i e S x e W 1 H M V a 4 U F a P x o d Z E x A + i Z q L J Q w y f E j O v Z T a z t Z z 4 R 3 1 4 5 u m n 8 Y J o g x / 9 6 E 3 R S k P b m C m e t a I Q k + s R R r B l R R v J P R I 1 O g 4 G e M w u R F o V A h N G U o f I T I T + s / H y h v J n E u k E r t 2 9 C r 9 X 0 w R K y u t r R z c T A + r 3 h 3 u 9 8 v d 1 V O t V / P M / / w L p d B p / 8 z c / Q z K Z R H w z r p i / U C j I 8 w Q K 0 Y b 5 O z c 3 J 7 7 c u 4 q h + r u H t p i J 6 O / v x 2 9 + 8 1 t 1 P e 2 E E P 0 p l 0 u 3 y + R y r G H 5 X x t m W m N 0 U 0 c 7 I a 6 G o h 2 X i D Y y o x K 3 4 r M Z 0 c D f N w 1 l R p e / h j N 9 Y q / K D f E i t w / b z i A h W g t 6 B k Q b W J J 8 T 4 i E A 8 N F 4 K A Q K x n V 0 D a C r Y g Y 1 6 q 4 g G o 4 2 g Z M 4 d i a a E y r M H m l V h a G y C B W n E e v 8 z h + 8 c u 3 8 T / 8 1 V 9 q H 9 o D M 1 / P Y / z 8 C I r 1 B F x i z h C Z e B a + s B e T X 8 3 g 0 D M H 1 D E z S N Q L C 4 v o E u n d 3 9 e n H 9 U g f r s Q l t x i x Q K n M M j t N Q e O 9 Z p M F w Z b M n L P Y v r G 4 3 E U 0 y X 0 R c Q / M 4 2 B G W I 9 o u D I K O I n U 4 R C I R E 4 R U X c B u q M g L p r i M l Y d v l q 4 q + I X + J s z B y Z 6 M q V q 3 j u u W e V W e Y Q D U O h R W G x l L 4 J p 8 u G t P g s o 8 N j 4 v M 5 1 W 9 s Q a 7 X W n W I F S D m s p j n j H A m 0 0 k M h E R z y 0 + 0 R u X + / u 9 / j t d e e g M O j 1 U F L n Z C R u b X L 0 L A C O K Y s S y C f M C s t e Q p h T R N X w s J U 4 b q 6 6 g D i Z x 2 j 9 9 r h i K G w 6 I 1 R L 8 O C T H 7 T e s k a r H O l G L T B B I K B Q / H Q e 6 5 F X W R 0 h b z A p 1 u / h F 1 Y Q x O T F u z U 1 5 a M h q T m p 3 l L c j 7 i 5 m r c F m 9 K N c L c J c G V R i 5 o 0 t j D m L + + i J G T r W s d + m I L c X R O b g 9 Q D J 7 Z Q F W s f u H T v U J w x b h 1 O P e Z A I S I i N c Z i l d i J b g 6 h J p K Y e q W b s o G 9 F 2 n u r W i j 7 B B W u V 6 e A T L V S k O V f H 2 / / 0 a 7 z w h r a u 1 S r 1 S f z v v P M 7 v P r c a 3 A G b C r A 0 E 4 z c M k h a q m h K 1 C D h e F 0 p u f Y a 8 o E u 3 3 7 L q L R K F 4 9 9 x r s I Z k D f t 1 0 i r K Y 1 W u 5 O 6 h W x L c t F H G k / w X 9 H U F Z 5 s j k 4 1 q r d t R s F U 3 L r S Y w d m R U H W 9 l i s m p K d y + d Q d / 9 m d / q l 7 X k / K + H u E 0 I 7 Z p Q 4 e z u i 2 U / t W C E 0 8 P l V D j e c V k N D I k a P K m Z f 5 n x b + K U i j p a E N u 3 y 8 s J G x Y F G 3 y x a p T r Q l l N l P C J 8 J Y J n 5 o A r W M E d A w 3 e g W d G a i D W y g Z m k w q k o f S d j b + 3 A y + Y q Z m B L T w k z 0 0 z a S c + p 5 u V 6 E 3 6 H l C q a j K R W y 3 Q K d r B 1 Q z p e R T x a U A F E q W b D G d R + P C x 0 D H T J Z 9 i 1 m I u h w k 0 g N w q 7 R 3 x N p 6 9 a Z i b D 5 5 H p F 4 5 i Z i a h 7 a 7 D Z H X J L F q S c c 7 i 9 b k d H p A N + X 0 A t G D M c b Y D X Q 7 N r f S M u J q x H B S 7 a M R P 9 y X q w A p 9 o q H w p j b p b E 4 Y E g x X j I 2 N 4 8 4 0 3 4 A r K 9 X F q e A r T M H O 5 g 3 6 u z W 5 D b 0 R M d o G l o l + 4 z k z W g m b G k Z k I a j C b q O H 5 h Q X E i 4 t b z E T B W C s A B y c m F D M b 5 j J M 4 f A 7 6 9 o k 8 n O d E Y 2 Z V M B K k O T 3 Z d 7 O d T L S I L 8 b a D A T w R D 8 h t y v m Z m I J y a X z + + q o d u f Q i j Q L Q Q t a l 8 I 0 0 q n u W h V 2 o q x 9 K X Y X R X C L V o z a m 2 E K U U W r k P R p O N n O V a 6 V r P S h 9 L n a l v U h 9 q K j N l G A z J S p J h N / q u R O f X P M O 3 J 6 f Q g W 4 4 h Y j k A e 8 2 H f / 6 X f 8 G r P 3 p 1 i / l o H l 2 / f w 3 5 5 S K K M m H B T i 2 i V q 2 X l I 9 H 0 0 5 F 9 L x C N P o l 0 R S p Z M t q W W D l 7 j r s H h s K 2 S J u 3 k j A V i 4 I 8 5 Y R C X Y q w k s J D 3 h 4 b f L d V D a G z d I s A s 6 d o 4 d M z 8 p X s n j 3 N 1 + I v 1 V F N l P A y M g w D g 4 c w u T c J C 5 c + B L J V A o F u W 6 7 w 4 U X n z 2 P g J e O q f y A f F d p c f M Y y f O q j E + x G k W 6 v K a E S p 2 5 i f L 9 V C K D / q E + j d G V B a F 9 z 1 Z x o m 5 r M C 8 R d P V p S x z i w 8 H G A d e O 5 y t p x C t z 8 N n F f O M x a i 0 5 T y g S Q j U n w i u Z Q z g U F l N X N K 9 o Z j I B w Q j n 7 3 / / v p h 9 H f A F v Z g X H z I k D E G T N C 5 M s 5 h x o F O e r 4 i g D I g W u h + 1 Y 0 A E j k X c u a 2 Q v f h / y s T T w a e X F l u k q u C J Y a i S T E I 8 1 4 V R k S Q q Q V G O q Z u l 8 y z M Q v M i E O 5 A t H w f v n I n N o q z I s / d y C f E / O k U I t A n Z Q s c G / M x M q U h x X m 8 D T M R i k H 5 n n z G I K Z 6 W p j b b U U 5 L a b K k g O R w Q j s T j u u X r y B 4 f E h I U Y 7 0 q k 0 7 t 6 9 p 3 5 n e n 0 a M 4 t T Q v D 9 6 H c 6 Y H U J Y / K f 1 a L y 9 B w e 0 Z A m D e A N u 5 X J Z R f z r F Q u 4 u f / + I 8 o 1 z Y x N T + t I l + O v B P + P g / 0 F E I F l 9 M L n 6 0 T h V o a j p Z V S o a g r W U x X U X I Z 0 S T 3 L s 3 i Y M H D m B 0 Z F z 5 L V y L 6 e r q x O H D h z A 4 M I B I R w e 8 N q / 4 Q h p B x d e S 8 I R d 2 0 x u B j y 8 M j e x w g y 6 v Y d g t Y r G E i m e K a V Q L Z D w t d x F C 9 e H 9 P A 7 m c l a F A E p Z q E B j j F z K j P 1 K O K F B f i d 2 o I w 7 y N e W F Q L y k q z 8 R z 6 M H k C z C g J 4 M K X X 2 J 0 d F T z c 0 Q o 0 u J w u V w 4 c u Q Q 8 j k x w 6 0 y T i L H e K 0 e U T 5 X o k 5 s y P P p G E 0 3 m / r r E 4 H a v S 3 a Z 1 W B M q Y f 5 W Q O r 4 q f 1 y s u S F Y E u h n f e x / K D J d I o x P 9 I p G 9 Y k q I e W M x y i v E R E O 4 o s L S X F Q l c T K U G n I N t J X Q 7 f L b N u Y 2 V c m F k W N m h N r t d R f 6 g q Y w r j l M 3 g o 5 v L q + i m v X r + P M m d P K r L S m b I h j D Y G Q F x 5 n W J x u h 3 w 9 r E z H o v g J / / j J M n J z X 8 L t q i o 7 n 9 E p R q 9 6 e n r k H K f g 9 X l V J O z y 5 W t 4 V j S E T X w H T 8 i t F j G F N f D 2 b / 8 V L z 3 7 O v r 7 m w M S h C V t Q 9 X H j B B D U s i x r B C 5 v j R A I V S 2 i 9 + y t q Z 8 o t 1 y A g 0 w / F x x l O H 0 m c K Z O m 6 u O n C i z x T 0 I O S n p m a n h c h H t m c y V I Q b R C A q G D 4 S g z / 6 v H I O L H B g M H B c v W 6 F p S T 3 I n 7 P F u R r 0 b W Y a C H N L K 0 l Z C 7 D N W X u U U D R 3 5 I n C A W D o l 2 B D x Y 8 i i 8 N W I V B 3 z h U N H h U w Q i Z R z d s u C V 0 x t e H e s q Y 3 b A r I d + K J 4 q h v C I R X x y T k d D B E L k 1 L 8 y x j c B F j a e v Y R h n t U h e C 5 Z u r W L w c H 9 j M k V S L 9 9 b w 8 B x L X 0 m V 4 l j M z + v n t u s D v T V T 6 B Y z 8 M p v o x V J h H M 0 j A g R K v K P + T a 6 C 9 8 c e F z h I c s G O + S 3 7 a X V G i a a U O c u V p e J k 0 c Y q Y f k e U t Y u Y x S i c y A K F + v 2 K k p 5 4 6 o y J S b r d b l Y g w p H z w 0 E F 0 d 4 l P J o K g N Z J F Y l E Z A S Z C 3 A Y S L k 1 Y j o W Z B m i 2 O a q 4 c + c u j h 1 r X v v Z B p 5 a z j O X t G K 0 S 8 7 T E i S g r 9 c b M I 2 L D m b k L y + t 4 t g R O T 9 / v i 6 S 3 m m K v F Z l / J S W c q L m 0 m L R F t G e J W t F h G M U y e K y s N T Z t u d W e Y N W 0 / G i n E s Y 7 M 6 9 u z h 6 5 I g S j o u b s / j 6 6 8 t q b S 6 e i C u T t t 7 x F F 4 9 6 c e 7 9 9 p n q B z s W R Y m 7 s Q n 0 5 p m 5 y / Y h d l e H Z H r E 2 v o + o o D H r n 3 T R n T N N 0 J E 5 p f f c 9 B V W u G l d J 2 B 2 0 x F B A N o T M T z Q R m N R D R m Q 0 M H h d p T l O R 5 h s h g t N g J s J j a 0 T l u j 0 T y t F 1 + 9 x C r z J c w k y M E m 4 F R f g b u u l D 4 n F G i k o b O S o u + H L i V 4 X E f F N R R C a E 2 l B J 2 F D c L C l m I g O + + 9 s P l K l C 6 f 3 c c 8 + I p n A r 6 Z p c z u D M i T N 4 8 f k X 0 O P p V R K W z F Q T O 2 0 9 N y m + 2 q a K + F W E 0 R V 2 Y i a C g k P M E 1 U M Z 4 a Y N v l c H h s b M f 3 A H h B i 6 p N b K V S T q N l E E 1 G Y 6 F g z P T e D w Y 3 + v l 7 h R x k 3 I U I z M 1 n L I m j I E P T J 7 I 1 5 r L N 8 p W y D U 1 9 I J z P R 3 G q F Y i Z z k E e 0 P A V G K p l Q Y 0 u T k F F F Z s z / 5 I / / H f 7 9 v / + p C t e / I s x 0 f 2 G H 3 C H B 5 P o A P p x y i W 8 r 1 y 8 P n m q 8 s 6 J M X F r i p 8 S 6 O N R d x b O j L d p Y 8 E Q x F B G n p N V R 3 y U 9 i f l 3 x H r 2 n g o U L G W u K 8 3 T P d 6 o 1 N 3 S U C 0 w / B c b S z s M / 4 N M w c C G w E J z 0 T R y 1 B I b G x t Y W F z E R O A c e n 1 n E N / Y R M 2 r E U / V W x I f o i Z K o g i b E L a n 0 6 0 m n A v I f l c A K + l F p Y l 6 u n t U j R P R M S R / e X 3 y O y X 5 H q N s L O x b X Y n i 0 w 8 v I l V a w 2 r 2 D j Y L 8 8 g J c 9 E 8 q n H 2 d w E J o p g o i 7 m j X T y v Y W Z 2 V h H d T q A U p z 9 i a D a P + F d u W 0 j Y Q + 6 N w k T / y Z N i i r f D r V u 3 t b U k + c m t i J 2 A 1 5 2 B / K 4 Q v a q Y b r l 0 p z j I L p t f J U c T p n K w L V h r I q x E m 2 1 B P w f 9 M S W A 5 B I P H z 4 s J u 2 6 0 u K M i t o L 4 v v J Z w 4 O a d p w P z j a U 8 J I R 4 P h L X q w g 7 7 z q Q F h f v 3 a f n S k + O Q x 1 N e L L i F g / Q V 9 A R O D a R B j S v w W Y 5 2 J E T Q D m X m T q S F o k t g t E + q x B 4 W Z G i Z B v T G e 2 8 B F T o f d g Z 7 Q U Y T 9 E V i K N d g 6 i 8 K R d Z R F i z D p 0 2 a 1 w + u W 6 6 J p J u C E s / D x J z / 9 I / T 0 d u O r r y 4 p k 4 R J n k z Z y W f z S I j N / 8 u 3 f 4 1 k K o l c L o d M J o v N y i T O n j 0 L n 7 1 D z m F D p 2 c c X k d E h Z u t Y g I Z v l 8 T T L a + K + R Q A o H M 9 M n H n + H a t e v 4 8 Y / / S H 9 X Q 7 a 8 g U n x E T 6 e c u K t c f E p T M G O q h 6 R o 6 D J l D b U c 2 K j z R I F f R a u J x l U V t e 1 U F Q 0 L C s D D A 1 U D w q T 8 z 3 R c p a s / F j K g a p L M + 1 V w e c O q H G B 1 1 n G l U V N 2 x g M q y q y C T l c k / v c F B / U g J H 7 d 3 E X D W V G f 7 C C I f H D 2 o F R x G 4 R L W 8 c L u L 8 i N x D R Y T D k + R D m c H S 9 u F w g 0 E 4 E U w 2 B Y v W h H 7 I A M b a y 1 r u L q q 1 M g b 8 m r T b A u / c x F O 1 r B C 5 O T n S / D 4 1 X k A f W D K x m H 6 p 0 i p W N m Z x + b N J / M e 3 / h q 2 D u 3 D h g 8 W K p 9 D I C K m l t C U n j I H i M m H s E Z Y 6 7 n 7 6 P E e E q Y X c 0 L M S Z q M 1 F Q + n w + f f v Y p S s U S n n 3 t O A Y j R 7 a q b U m M h Z h L m Y W t 5 R A V 8 b n t 7 U r A u L Q g v g X P T S Q W 0 r g 2 e w 1 d 8 v 2 j R w + r U g h z Q G J N n P k e + S 0 z I x l g I K P u 5 r h b h K F i 8 D l F g G T F W f d U l f N u B v P t m B z b G o y w F c W c c m 0 v g c g U 2 M 6 g M f 5 G 9 K 8 1 r N 4 O X D c K 6 U s G X P D 2 + / 2 q z o s C 4 + j R I y p 6 S Z D x G V i 4 s b o / h j o z W N q 1 S t c A F 3 r f X 3 E + u T 0 l E n k b x i M m j U P z i K a Y b q 6 p J Q O d I b g e U l p z w B t q k 9 z K K m A x h c h M y k w Q s 6 5 W F C 1 H a U N d b h A J T T 6 m p + h 1 N V y X W E n e w 9 J C F M + 9 + B S C 9 T 5 t I V M s n 2 R l W W k Q h 6 e i S j P M + X 3 m 8 v v N / K L 4 h X H F m F 5 7 N 9 7 7 5 F e w B w r i 7 6 d w 6 s R J F S j o 8 G l p P Q x 1 i 8 5 C R r S H l f m B V T 8 + + u h T 1 U C F Y E 5 g 2 S I m p U g R i 0 h 4 m j j V k m h K u Y F k X j T d L 3 + D 8 f F R x T z u o A u n D 5 9 G p 7 8 T h U o B N 7 + 6 g 6 7 + i E Z 0 c n l + + d N 0 z S Z o 5 e T a c 6 f N K 8 M r Y y V j p h c R K y j / R X D h y 4 v o 7 e 6 F y 9 1 M v H X T 2 t I W 5 J C z h Y F V K F 1 8 Q 0 t F T m 7 2 E R l k k U P U x l y z I t Y 2 n e h g a p g c Z 0 U w g z 1 c / 5 q a n s W h g x N I i 5 B w y d h / P u f C O i O 1 + w R 9 Q 4 b S X U J f U 6 K 1 + 5 m i R s g f L q K r t T i 5 7 v f k v M Q T q a E 4 e Y w a G 6 X v S M g d h Q 0 b v n m m m I / H S V f + j x C D C r f L c 2 o N l T A p U M 1 J h I D a 5 X K R w J h 2 o l w p B h 8 Y G J G / n M x k I o 1 q y o N L 9 6 t y K I / 4 5 h r + / D 8 d R a d 7 F B 5 H S A U O f G K O E Q k x 5 + j 8 H 5 w 4 q C 6 R 2 e a / f P t X m D j d i b H + o y j l W F 9 0 S 5 U f u L 1 O J d U H / a f U d 6 0 5 G 9 Y t k + g S 8 6 5 c K z T V T 5 F 4 m a o T X 0 q h 5 M r g d + / 9 H u f O n B M N r a 1 t R T o j c k 4 r e n t 7 1 L k V q L 0 z d s S q 6 + I / b c h 7 v b h / d R q 9 Y z 0 Y G W 0 u 8 2 i F p q E a G o N B B x J w M V o R n 1 G Y O p n H 3 e m 7 K F X K O C i E 3 N f Z r 2 m 0 5 m l R 4 2 o + N j + T x s i 4 l m D b F p w 3 0 e J m b c X U K Z v O 3 Y w S z m d r G N K F 7 K e f f Y 6 T x 0 7 g x r o T L x 5 2 q 6 5 F t m p W e N G D L x f a C N Z 9 4 n B X G S N i d Z i v n x X E J V 2 2 P 5 E a i g K Q Z f J G 5 a 7 S T F t o n j m O N y U d S 6 5 Z F K Y W h e U Y V 8 E N G A v g R t G Y y t s y h C p P J + + r 1 + J z 1 U V S U Q l m x Q d I x 6 q 4 O + / G T 1 + Z w D N P H U E 2 u Y 5 T Y 8 + q j A m G 9 P P x P F x V H y 5 e u I C a J 6 O Y p q e n W 0 m 1 a k 3 r J X H v x g J u 3 r w j 5 o k 4 y y U P g j 1 W 9 P k P I u w a R E m k g d 3 q R E 3 8 C z J m u S r M Z H P L X M o 1 6 P d J r W r P u 5 D y L O D 2 l R m c f W U U o S 4 P x g e O o S / S r / w M m l 1 q L a o u 3 x L C r I g E u X z 7 s s r m P n d O / L F a A A O H e 5 E v 5 D A 1 N a 0 a q W x b M z J g q W M m Y V f a g L 4 j g w 4 f f v g J L K E g 7 s o 5 e 4 a 6 4 A 1 6 U Q 5 P Y G L I r x j Q 6 C p F 5 D I F 5 E s Z b L K U v 2 y H V Y R T Q c z g z n 6 Z F E Z d 9 c C P A c M v s l b E / F P R P / l L D c d j h k 0 v 4 J g E h S Y 2 U 3 Z 4 5 P e 8 L i / S 2 R T c L g c 6 A k 5 M i c C 5 M 3 s d i d Q d B F w R 5 O u N F K 4 H Q V z u R 1 l G b Z i J e G J N v h f F W V Z I y s S 3 M B S b b / D Y W u Y u 3 I V O x L j Y F / a J 7 V x Q 0 S W a a z R X D J T T J d h c N i x n b q g U I m Y K c F H Q y O e z p v X f k P m z i L n A 8 K + / 3 o P Z 2 0 t 4 9 v w B h I N h o d U 6 v v j 6 U x z p P w G 7 V 7 4 r l 2 D 3 U L N Z k Y i n M N F 7 D N l S W s w v K z z C n B 9 + 8 h E O H j m B p 0 6 f w P F j x x E 0 C u H c O c W s o n d Q q e Z R L h f h c m g Z m + n y u i q r 9 z q C W 5 K Z q D v Z m i y g m X l 5 J w a 6 x + C w s 5 g P 8 l t e W I X I 1 J o R B Y c 8 G J H k W t f x 4 8 f V d 8 g k v D f 6 H f S r f v f 7 3 2 N i Y k J 7 r w X r 4 o O E 7 U n 8 7 n f v C k P O 4 7 X X X s W J 4 y f Q 1 x 3 G 2 N g o 7 t + f F H + s A w f 6 A o r Z l f Q z 8 W a U v T G E Y c N B Y S Y R b m Q Q m 1 + n S D M z 8 a k S Z v K E p + F a V d U h w q V 9 N F G V 7 4 i w I z P R R 6 r Y f f K z Z V z 5 6 k v k a x 7 U b L d E + w Y R C v t F m F S F 6 X d O y d o N v J 3 x S F m 7 N w H T l M x 4 o n 2 o f q 6 t y G i z 4 S C h + u p R C 3 n q W M p c E z N X z B G 3 F b n V q k j + g D D M T R n s k s q m o O n k d Y Q R T U 4 r o n c V A i r q V y v W 4 C y K 9 B I J X M l W V K K m h Y u Y w l B 1 s d 0 t c l z 5 W j K O Q + O D a t 2 I R F p O V T B 6 Y A j z a 0 s I h g I q W u f 1 + F Q O 2 V P n T 4 s J 6 E U 1 u I n r C 3 7 0 i q k y e K A f b n F W 1 r I 3 F a M I q 8 P l p + Y q C 3 M E E f G w Z D 8 k z N S Q p F x L 6 5 T j Z C a u R z X l l g l H M F I 4 c W A c f p 8 W e i d R W v N 2 1 A L y W R N v c N F 4 c n I K f X 3 6 2 l t D 0 K u O S t R o / / A P / 6 g K B o 2 2 X z Q t 2 c H o V / / 6 j y p 8 / + q r r 2 w t B i v S k v 9 x X P r 6 + l T + 3 4 3 r N 1 R V r e p l Z y x G 5 6 w I 9 H t h c z Q u x l p z Y C F 3 a c s X 2 g L X / M j o O m K 5 W c R K M + L f 9 W w R c x M o 7 K j N 5 G v 2 i h P F q j C u P 6 A C E l 1 h D w Y 6 J z C 5 4 Y L f l Y T H L 9 q 4 v I t 5 u Q c i 3 h q S G 8 u 4 t d m J I v 0 5 E 5 5 g D V X A 5 Q U X B h i V E 5 N O R e i Y L S x s t J y + I Z / Q J o O m k 9 f v Q 6 w 8 p Y j Q g K s a h D P v Q 8 K 2 A J f V h 7 R l F V l E k b f G E Q z 2 K E K 0 k i 4 5 9 8 J M l a Q 4 3 g 2 l p n K 5 w r W U y m 8 j Y Z M p 3 / n 1 u 4 q w 2 E z l x M l j a u I H h r r R E e 5 E 2 Z b D 4 u U s J o 6 m s b 6 e l N 8 K i 5 S u I O D s E g a x I + j s V 0 T F j O u Q / K 3 W 5 I d p W Z i I n e a e A U v G g Y p V T C A 6 l F Q + 1 K L i J D v E x P H Z Z S A o 7 a l N m W m u z z l z 2 7 L J H K b n p j E z E 8 e R I y N Y u b O m N c g 0 g W l I z N h g o O O d d 3 4 r n 5 1 R a z n X r 9 / C n 7 z 6 J 7 i 3 n s B I f 0 R F 0 Q g L m 7 K Y t A v 7 O T C 6 x l x A + l e G i c b P K B N Q F 4 A E u y c F L f 1 I F l f h d j a u w 6 Z M u 4 a / 5 K t 3 I V v f Q I d 1 S F V Q m 0 H f S t O y 8 p B 7 5 f e W 0 l l 0 + v z K j 3 W L h q c m C X h E e M p 3 a 2 L 6 p g u m 9 c g H x I p o / P V i e B s z E U 8 k Q 7 E A d k z s 2 H t R B 8 b F b q Z f o 6 2 / 0 r O w o F B J o d 8 v Z p Q Q J t d / b H a r S K Y u t R g a q o 6 I y d I n U i q A l Q o Z D + j 0 j q J U z Y n W 0 o I c / J 5 a L 9 K J Z G 0 m i m C v X 4 v w 6 b 5 V S O Y w h l u i X e Q 9 + X y h q D e C P P M 8 h g Y G Y Z O L t N e F u M W U K 9 R F + w h 3 d v o 7 R D r b U X C u Y 6 J v W J m d D J l 7 H X J c q V b 5 S a t H p U 3 N b X a j R 4 j E 6 t 4 + a U p W 0 B c s i / Y U b s m J v 3 Y j b s P B C T + + / G J S t I p T z i m a z V d T o X K a b n y Q 0 N 5 + 5 1 d 4 + u l z O H X 0 k J L q / k 4 / K s K I R r z C D C a V U s I f O n Q Q I y M j K s H U X h V D y u n E Z n R R + Y O E k Q l i x u r q q t J w K u 3 K D M 4 V y + m F + A v V D O K l R f j c H W L Z c Z 4 a F 1 G x F M V H k v M a E K Z k X i a Z y V q x b 6 U c K a u B A 2 e K A l q E G Y s y l 3 6 X e 2 u t i 9 n k X 8 0 P Y y M z 9 I 2 Y a Q v t t K T A d M V P D l 4 e 1 w h / k O s 5 Q k y s f T G j x y f E Y g L D 3 y x 8 G 7 Q 9 p T L S H T 6 3 6 s F t g H 0 M 8 p X k V v S M D m 7 d U 8 X y z T U s p K 4 i E O q U k w g B U x s y V C r / Y r U r Y r q d w J B F 6 1 n A y O H x p w e x U Z v E U u m q i g I a l a p u S 0 S Z T N a w u H y 1 R X h j I + q 6 m Z v n K P q R y c d A 3 8 y 4 i / t r 5 3 E 6 Y k f G v a Y f 4 T X p U l 5 g E e 2 p 1 q W E q S 6 v O P D Z r E t M I h s + m v Y g 3 X k Q l 6 5 f R i a X U R n q L D n / 5 d t v i 1 Z c R 7 F Q U m a b U 7 S g I S x I F y q j i y / V k 5 3 B x F p L s I 5 j Y x 2 4 8 P V t / a h 8 V U + 2 N e O V V 1 5 W 6 2 o / + 9 u / V w u 8 R j 1 S r i z P G Q 4 X J A t L i L i 1 j r l s / 2 a G E o Q V r R 1 c K 2 p 2 M c X L I o A Y + R M G Z X f g J s j 7 P Y H m B T m e Z / e 7 e z R 4 I j X U R J d m u t G W 5 V q D I y B m F 3 s f U O U b k S J O h I w g r b y N m R i 8 / W 4 V 3 S P I E B t 5 b f 2 G c C c H 0 d s 1 K u b B h v p a k D 3 m i j L h / i l 0 e A Z E 0 M v k C P E q C C 2 z s Q v R E R x Q J s x S 6 Y p K / / F 4 X b j 2 1 X 2 c O v C i S E S W Z c u E 0 x T j W c U / o 9 / l E r s 0 5 1 l U 7 5 W y R b h D b m X 2 2 D 0 O L Q W n U s e g y y K a w N J o r p k S 7 V I V P 6 g g n x F z h S W W 9 5 N 2 X F 9 x i i / Q I B M r / a q l 9 9 D Z 3 S k a 2 I 3 M W g 7 n n j 2 D 4 G A N 6 V g F m U w a Y W c n w r 2 B L X O N c M p 1 y c 8 q T V e K F u A M 8 J q 3 w 4 j Y U S u O D v X h / / p / / l 8 E I s O o O k L I F a 3 w U b g J g Z N J + R m m U Z 0 4 c R z F X A l T c 1 P o E d + M i + y q / E K Q K C 7 B K Y x E U 1 a Z e K Z 8 P k K 1 x p Z z 2 U r b a 6 b U a / 3 W 7 W Q 8 8 / v 6 7 + f L Q g p y y e q Q H O N 6 0 u P G E 8 l Q A + F N F C w x O B E Q a e 1 Q v R y 2 H G t d 8 h q D T a v B 7 x E H 1 D g u o I l A 8 4 + g a c j 1 G d Y v u e 1 B 8 b n 6 9 a 4 9 m u n n Z K G i v q h L R J M z y N 5 1 o L t j F E 4 W I A m B s V 1 Z N L O E T D q H 6 H w B Z 0 6 f k U 9 q F 0 D N x G i h S s S V v / y X E T O R R B Q S 3 2 G j O i W m T A 9 i h T k x 0 0 L K g b f J o 6 4 T r o L 8 d q 6 S E L / P K 9 q g h o 9 n u K 6 y 3 b i o y 8 3 + 6 N k x D P T 1 q t 1 A r i Q 6 M Z v 0 4 l R v S K 1 D M b N i I N I P u 8 + m t N f s 7 B z s Y g 6 7 x D S a n p r G + s o i 3 v 3 4 X b g c H i z c X 5 b 7 8 i E v p v D y 3 I p Y A T b k 6 h n k C j n N f K z X c P j Q h A g V J y J B I V 6 5 D 7 + P p f P 6 x Q h q a Q o R K / K l L L w e L 1 L 1 O W X m c g k g W 4 i h I D 5 o J 5 v p q A / L o y U 3 k 7 0 w 1 I I x D 3 O B N 6 W N d x N E w N T 1 6 t 0 t 8 P N y H a x z 8 g g P M V h J D c V 2 Y I 8 b 2 2 f l e w 6 P D N 5 c z I v o 3 Z x 6 b d u l N 7 W B X C 0 u G i S h v 9 L A N C S u Y z B i l o 1 q J q R a 8 2 F U S h F w E o V y R h 1 X k 5 2 2 K d + m a E 1 h 4 t R B 1 L 0 M b 8 d U s 8 d M P g 9 H o g / d p W N 4 6 7 U 3 V D R r Z W k B x V R e M R P N t Z R n G f H C s v q N P t t J l f H A V K b u 2 i E h Q i u 6 h L A Y / q Y v R 4 r I Z B p 5 c o T P I 2 a j f J 5 4 d W J 7 2 o 4 B t g s w e p + X a R L J 3 4 v L f r U Q T l T 0 7 k b 0 r R g 6 / + K L L 1 X u Y D g s 2 u T k M f w v / + v / j P E D I z h 8 Z g K 1 Q E m u X L Q n 1 8 j 8 F R E C o i H l h P / l / / s n Z c L x w a A D e 8 P 3 V Y + q L P x i t o R q U o h c t I M q G 2 c A Q s y 3 i z c + Q b 4 o v + n W O j / l S 2 F k R P M a Y G q U V T S w G a x P U t C D G s z 5 I y x s 5 s B S D d 4 d f a i M / j 2 D F O Q w 2 y k H Z e z t D J h w H D g Q j x p t T v q N G O q x X O Q e O D G y I R r n t k x w U b V q V u s P x k D u A F f N h 3 R u U 3 + l g c x k 5 P Z V q u a 1 D W E A E W f x / B x S Z T b 5 l 0 k N V r F u u 6 M 9 F 5 B J a K 6 w L I T J t z Z v G R 9 + 8 S E 8 / T Z 0 C J E y z 6 9 v Y A h O i 2 g 3 R d R W Z U a G b Y P I l u K w i / 0 / 6 N W 6 u 6 r y E 3 0 T B H 6 S E n w j t y i m o R Z G Z n Y 9 p S u X B E g o h F M k e V P a l Q n G u s g 1 8 a 3 4 P Z 9 I 9 G M 9 J X w w K f 6 h X I t V j x a z 2 x C z H P 7 o j 3 6 k X l N 7 U V P X 5 H 6 c b v F f h G g j g Q g i H Z 0 Y P T A g m r s T w S 6 / + t x f / c W P 1 b K A z + f F 3 b v 3 5 b p k z G S M m J D M k D j v I 1 H S x u r r e a c q 6 H v 5 / I / w 0 e / n 8 c G F d 3 B v 7 Q L + 6 R d v I 2 I b w K U L t 9 T 6 E k 3 Z m k P u i W l G O u w y L B Y 2 k D E Y S 0 c 9 I P P F U g 3 6 o Y 6 a j K E 2 f / w c / b Y 7 i 1 k x 9 8 Q E Z a C E a 1 z m t K X H j I c y + U 7 3 l 3 B q o I Q D n R W 1 Y s 4 w 4 r e F 4 z 0 W B B y 9 4 p O v i j T P w u / u F L N O J j E j 1 9 A S a T K w V L o u 9 n g Z / p y W F 0 d f x g x K U 5 d f 7 H S O v Q e q 8 w 4 X f z t c Q 6 j X x L 6 X i X X Z A 6 q B J q F 8 A N E q b K Z J s H F K / w E / J i c n M d A z o k y i e H F e J r R D q K J x T b a i H c 6 a m G 0 B I T 6 z K J P r V r 9 N a S r P P f a Q 0 I l 8 Q L 7 r E V O V g k t 9 3 v Q d d t m d Z 6 V y G + R L l q 3 6 p M P d F V x d Z t S v j m F h w k q 6 B i 5 c z 8 a u w G 0 J q y R b P g z z k r u R U N g 4 A v J 9 E j Q P 8 0 E f U I 9 w 8 v N c + K X g c T g d j U V p Q a U k m q Z u g 8 c p z C v M 0 S 9 M x t 4 f j B i e O X E M o w M T + P h y G i + d 7 8 K F D 6 / i 2 Z f O K A Z W v 6 H u s S 7 f k 7 l Q h U h W z G e B k L G O Z Y K l Z h O B u o J 4 a V 7 m i F H F F D 7 8 6 D O M j g w i H V / F j S s X E d t M o F Q s b D X g / D Z M v n 3 n 8 r F a l g V + r L d / Y a z Z 5 L j y 5 Q o 2 w t t 7 x j 1 q c H L f O p T H 1 J 1 J u A Y 1 k 8 9 b F y k a Z F s u j S B a w b U n L u i S S A 1 7 n c m v X K U n a G K x q r Z c y y H j X E O p l p H v a C F a l t D H 8 1 Y t 6 V I H G Y 1 m h l U k 8 W r 2 l p h Q Z R X q z h V T + O y 3 9 / A n f / w T d I T 1 z G 3 + h P m y q E 1 N v l w r S B h k H E Y k 2 e + v 7 m m v h W b E u Z 7 a p 4 N 9 b r C E S 0 t O d R n j 3 V d x o O M I w P M H K 5 i f X 5 D H P F 5 + e e 8 + 5 m r X D d 3 k N D A z P Y P e v j 5 h s E Z u 3 N K d V Q w e N S 3 S t o 6 B C Z v R O O 7 c v 4 c X X 2 z Z D q d s E 6 1 l Q 8 1 Z V l q H h Z 1 c t O V r B d F m a t 1 J c P v u H e Q y O R w 5 c l h l e h g g s 7 N / I M t e P v n 0 c 3 j c b u T D T 8 M X b l l A f h S g K a B j X w z 1 0 o G C E G T j Y 4 n 1 N A J d b l T E 9 U i s J t A 7 0 Z L G I R + d u r y A s b P D + O D + w y c i t u K s E E e n r y q E f F c I u a j M o x 7 H I Z 1 I 9 V l j 8 Z w 5 F U n e y l S i T b 3 D j Z 5 7 q f S G + G J p 9 D 8 V R i o b F W t D 8 6 X U e b 1 a 6 F 3 V V h k 5 g 2 1 g l G A s L E 6 L p O 5 S T e w N W E V r 1 o y 0 G h 3 r 2 f u I u M a 3 5 8 q J O b b N N K G Z 5 6 9 B p T u Z K p P J T G S q B w U F w / n h k h I I h u a 8 f f u 2 y m j w + 5 s z B 8 z l L 4 R K E G 5 J H F 5 Y W F B + m N f b y O b Y X E o i M t g c s r b I 7 z H 6 1 w o m I / / y g 7 c R S 2 T x 5 3 / 6 I 3 S y o 5 X R o d a E l M w X / a F W s E y D v T X Y U G Y / u L 7 k x p p W w f J o Y W I o k x H R H v R v z c z E a F W 4 J 4 B q Q Q j P a 9 / O T I T M 1 8 S 5 Y e Q 2 M j h a n c Z J 6 5 I c 2 j 4 g D w o y U 2 o t j T 7 f E V X i 3 u N q Y S a C z C R M x V 5 r C m J G m Z n J n K O X w h J c h 7 m x w P w W M 3 W U D + i B A Q 3 t m I n E Z Y D M R K Z K V B d R r K T 0 o x p U c 0 m 5 F k p L g u U U H d V j K t P d D I b K u c C 7 D f q G Z D W W j m u X p z A h p v b D g B 1 S P 5 l x q X 2 d 1 D q W Y H x 8 H O + + + w f 1 v A k t a 1 K t z E Q w S 5 0 + l G p + o k M x k y n Y Q O w 0 8 5 v Z G H p 7 u v E X P / 4 J 7 o n V Q W a q 1 b a P t 0 9 8 q x g D H s W i W k c j 2 D X 2 w 0 + + Q l f H P h d p R a v 5 V R 3 X 4 8 X e P p S M x q A Q F R 1 E S m u j 4 w / 3 f F 2 f j M G / 1 V u O p c B W c f A L W g j Y 3 g G b 0 4 5 Q j x 8 B + c x Q O I 1 B Z x 5 Z I a Y i 0 / C F l 0 X u q t Z X 3 F R t L 3 j E 5 P R n N h A e M E s / + Z 7 6 a s v 3 R Q D Q T 8 q v l u A w 7 f f E W h 4 W E D J r e y V 7 U 3 7 f q a J Y 5 u B K 1 Z H H g P + E / k r O n J M T M b H U B O V L k E r 0 7 8 U L w p g u h z j d l 8 R M S 6 I z 2 I t o c h l + r 1 y r X E s F Y k 5 u e P H p q g t z o n X m 0 k 6 1 J j I m 7 z G y x 6 6 w 9 L v Y K y J T W l f b + B h g p N D u s 2 t r a D Q Z u R Y k Y / E w a y p M u R k M V c W 0 F I e d Z p O Y v d S U T G h l Y q t Z a / L 3 q n G 5 L j E w q u x 0 V N D y I s 1 g h C / o D y I r Z h U T b s N h v R e H b k 5 v Q b 7 G X S T N x 2 l C X r 9 9 X f V i Z 4 P P a C K B q 9 d v q 3 Z r X 3 z 5 F W 7 f E S G V z C G 6 v o K V 1 S g + + u Q C v C 6 b Y q T f v v s x v K F e P H f 2 m A q C c C 4 s Y i L y Y U Q E m y D 3 + u 5 9 l z L f H z f 2 Z f K 9 I X 6 L j Y t 2 e T G V A s 0 X P H 9 9 C S O n B p X f o f k q Y e Q r c f R a j 8 L h c 6 p Q s 0 Z 5 2 s 9 Q s z C 0 u n J / X S 0 + d o 1 F 1 M 5 9 X 2 9 0 w C G D 4 7 Q W k C h s N x P f E n P P 0 r o i z 1 M q o t Y p u x V 6 l e 3 m Y k I V F 7 o D W h G Y u U y 8 J E T e O R I Q r V S E x x F U x Y i G e W P e p I v r L l w L Y p o Q g y F O i 1 / 5 O 2 q d S T i S y b h 8 n k x k c O v S L P r 6 u / H s 6 V f h E t s 9 u 2 n F 5 x u 6 R 9 8 C B h 1 e G i + q d b F U c V W c + O O K s d i o M + I Z Q S l V h j N I b m q A 1 a E F q w W f L b c / 5 2 7 g S L 0 5 V E J V h s K u E 1 + l U s G v f v U b v P n m G 2 r 9 a g t 0 W U w / T d + O n W H N m J 6 e x v 2 F 6 + p e 6 f x T G d f l + p Q v q P d e 2 A L f k 3 M q U 1 I e t y / f Q / 9 4 D z p s 3 S i 5 c 4 q h t 9 b e B L w u h u a N a t s m 8 N R s h K l n X R j g u i S Y O a E W m c V c L t o Q k + e X o o + Z m X Q r Z F 9 R v l j W j s F w R Z l K s V k h q n A j S T P U G x S / Y F K F k c k s X J x U 6 z k l m 0 r U 5 K b L / b 6 j c N p F k 8 l v s v B u t X g T I 6 O H 4 I 9 4 R T J b 1 N 5 H Y 5 1 V V M X J D Q 8 t o N v b s 7 W f 7 s b S X f x k w i 1 a R b S N R 4 6 J N q u L 2 a m a L G 4 l Z b Z n K J Z Z 0 F / w d r h V 7 V G q u I Z o f k p / V 0 M o 3 I G w e 1 D M i g 7 l O x F K A z E V y M f J Y j H h N Z W q x B z B t B C + q x S E 3 e 1 U / h B T Z N h f g a k z 3 P V j I H w Q F n 8 K 1 Z Q P o y L 1 O c 4 f L W q M 3 A 7 U z t Q 2 G 6 m Q + B B r y J f j 6 P c f U + O U o U l a E t 9 G v p 4 v J 9 V v c c 2 q X r T K d W y g r 1 7 C O h d 7 9 X P t B S 1 i V 8 e 6 f D / o r s J d s a q E Y C a P 0 q l / / / 0 P V J u t L U 0 l w 6 u E q M F U S q j K X z k R m Y L m c 0 d f C E v 3 Y u g f 7 I N L r 0 5 m r Z k q + R f 5 x / s n c y n I c K o q a G 1 q 0 S U + 0 / / 9 X / 4 z n n v 1 P B x V + V I L c 1 B r q + R a B o F 4 8 e Z p 5 v N W H q F v y H A 6 X R T R / O q v q 4 a b G z a Z O / O X H x / 2 x V B l G U j V R o n X J B N i 7 H J u Y O 1 6 W o j n i P 5 K a N z m g d 2 p L Q K S U I l E c V k 0 V 0 q F n G u b 3 i 1 t Y Y Y z A o S d Q t z y v Y N 9 F X i T S z g y 7 s X n X 3 0 B l 8 + h m R T y n m r n x J S e L U d 9 h 8 G i n 0 C B p Q + 8 y + 5 X h J 8 X T W O g 2 3 s A k x d n U c 6 V x X z 1 a R E 2 m Y R 0 b V 1 s d i G 3 4 h S 6 6 4 e Q s 2 j r W E z i z F s S i r E Y Q W Q O I D M f 2 H S E D 2 Z X R G e z O D 5 2 A p 8 u + T C 5 T 9 O s K m a J q 9 q H c b + Y e 2 L a i X 6 E O x t B w b M h 4 + l D s s S F 4 S U V + m f z x m Q y g b B c 7 8 E e c R v l 8 x t t M i f a w y I a 1 o I V G b 8 D v W X x 6 y p a c a N M F p n p F 7 9 4 W y X D k p D V p 2 X 8 V D M b + Y 7 q 9 i T X a W x X w 5 w 6 Z l x E e s J q L c 8 X E I F k n g q 5 p C 1 m I v j c 9 J p M c u j o A V y 9 e g 3 d / V w H s 8 H a J s 1 I n a P d F P N a W L L B D A t e k s 6 o r f D K G 8 v 6 1 k i P G / t i K J 9 o A W 4 S T J N m 8 e Y K O p r 8 G H H k B 2 R A C + J D 2 a 1 q P 1 j 6 V 0 z X M e q U C J p K A V e P j I v Y 4 6 U q H F 4 7 1 r J 3 t / w F a o 9 4 f h m B S i + q n r x 8 S u z l e B 7 d A 1 1 K 5 T N N Z n R 0 W E 2 8 g p 6 C Y k 0 7 V J p O K x Z v r S A 0 q J l l b F J S s R R E Y J Y V U 9 G 8 8 t i C 6 P U d l v P Z 4 P V 7 h T h D W E 7 Y c H H D g f 5 Q H E u p B G q 2 G A a 9 Z 4 T T h Z n t / e J F + 9 D V P Q S 3 T f x C E Q y s q e r 2 s r q 2 X z R x B n 2 O 4 / h q y Y 5 o f Q D z e d d e 6 8 3 b k B L C H e 3 O I 2 + P i r b 0 q c C K o y J M L r 6 f 1 x + W M Q y r T G t K f 9 U S y 0 G N B Q Q D N U w I 4 U 8 z K v g A o G b M l l 0 q q 5 3 9 U t 1 O m y p b / 4 d / + G 8 4 c G B c r R 0 R L P u w 6 q Y v N R B T i m g Z / O 3 P / g G z 8 3 P K / 2 K N l V 2 Y Y a s Z j Y 6 i m M e 0 W M z I r 5 e w M R 9 T u 9 1 z 7 N k l 9 9 K l K 6 q 2 j C 2 V F f h z 8 j M W Y W Q z E 3 L 9 y V o S 0 1 O 0 m d r a h o v B 6 g 3 t T z t 4 5 B z T N P 8 f E 1 4 9 U M C h n i o O d I k / v p c P x Y b q w 4 4 V b K z E k K l k 1 I 5 w X H T b a V v F Z D S N U H c A 6 W g W g e 5 G O N W M m q j f 5 f x V 5 S + s s c W W E D X 3 a l 2 8 s S I D U 4 d 3 0 I r 8 C h v P 1 z F y Y k C l y R S L J V y + d B V P P 3 N O X K N Z d R 6 u K 3 F 9 S S 2 K s o s o G d h a R 2 I l i X B / M 9 N r f a 6 F x O W y q U n Y j J 6 L m I x I V b 0 1 f D D d M G M N H O n / U g T F W c x H K z j u 3 k T 3 W J d o R j F B a G 6 y r w K H Q C a L m 4 x x T + D P Z h r 7 J D 0 s / m i k h N Y 2 0 Y q 4 + B C a M H y 2 b Z D 3 m U 1 x c b M k w q m 5 v m k 3 u I U x P O J L s b R 7 S H z U I 9 0 i O M U H W V p d U u s 4 1 F b t w M 0 I s i n x x a p V t d C b T K Z V E 5 h W X L 9 5 D S e P n 1 L X z N 0 s V J W K S d A S 2 Z U i b B 1 1 3 L 5 9 B 2 f P a h k k q o u V j 9 F I Y R 4 Z 6 9 2 2 i N 0 L O 3 W I / a b g N L w 6 k d i q U i D 2 Z F t r + p 5 i n u 6 x M O 7 O X F c T m t l s h J V p m r C n u A E y E y c 3 m 9 o 5 4 G + V A W U p B X 0 C M p W n 2 o H M U k F t c 4 m R D U T C f e g 7 2 q 0 x 0 2 Z e t d V i W f W r r 7 2 E + c R 1 1 R y F O 5 V v Z G e U 7 5 a o L K h o m b G O k / H P q s C D O f i w t c m 1 m A n u c g e s O S d i y U W 8 u + p s y 0 z E 3 Z V n M R V 3 o G z 3 Y M n S q Y I n 9 Z B w r 0 d n J u 6 q K B N 9 U / y 9 R 8 F M R L x d Z J e / x Z n K i 1 A g Y S Y 0 h m K g h B X I Y A R N D j F g 9 O y w a C 3 1 7 v 5 Q E K 1 I Z n L I 2 I 3 1 V D A r k v y D W Q + G u k Z w 8 9 Z t M e n 0 x V Q T G C j 4 9 T v v q O 0 4 c 5 Y 1 h D u C C I U C u P D R 1 6 r b k F G q Q V o 5 f l S L m L 7 7 + / d V E r P B T K t T j f I Z R 6 c F n 3 3 6 J U 4 c b 7 R 5 I z P V m e 3 h E 1 d j F 2 a y F J v d D 9 W V i b l + O j 6 e 3 O 5 a P A o 8 P 1 r E s 6 P z q j D S j D 1 N v r O j d g T t Y a 3 v t L W C y d t z q n i u k q 7 i y 6 + + Q m o x C 6 8 9 C H + 4 I R V X p 6 P o H u 1 U T u V O 4 J 5 M q j 0 U C d z r g 8 O v + R r c W J o w i s t c R b H L d Y l N G 7 s 3 P I K N W B T 2 Y q d q y u + P 2 M W U K y r f 5 c 6 d e 1 g v 3 F G 2 O U v X C R 5 v A g l P x n u j O I 0 b 6 4 d U K H k / y N X s W M i 6 U V 9 d R r B D n G 8 S t o w J g x X 3 o / Q T H 4 S M d 8 Z q x q b 8 V f a / U B r U B K O Q j 0 4 / d x N k t k Y l W 4 M 9 q P + 2 0 F 2 t Y A E 3 G 1 l + w B A x x 4 G L p 0 v C n M z y X h B t 9 + y J Y f z h 3 f f U e p P b 0 y B M M k w + U 8 T B 0 U O o O F N w i f n M f a U i 3 W H k 8 w U s L S 2 L X 2 a H q + x R N W E M R A y P D I k V Y V P B D M I f 8 a n K 5 m I p j 9 + / + z 6 e e + 4 8 / H 4 x b 8 t i a V D 2 y f V w e Y O 0 t i s Y y W P 3 W E Y / a v J b D F K Z X I C x c F 1 M s f I j L d 1 4 Q Z g p X 5 1 U 1 e B G j M D A n q P u d r t U s Z 3 P G U K k z 6 M K x 2 i 7 L 8 Y W R Y s 4 Y B u L 4 / 2 L v 8 V C 6 r r 4 R m U V D u e m Y Q Z B t 8 P q Z F R 8 s W U V X O D G W e y j Q P 6 h C l W R O 5 N A q m + 1 B 2 v g + I H z y h R 5 4 f m X U R K J + o d f X M P f / 8 v f o F T O o 8 9 7 C B / / 7 j r i s a R a R d 8 J n n q 3 E O 2 D E R 0 x 4 x j B H 2 Z 8 + G K e C a d B X J w b l 7 l 8 N M x E G D 2 8 z V 1 r D d B X L B X L K M b E p x F r u i 5 G g F G 7 V G W c R S 6 D v k 6 H a K o H Q V A n w B u r D m T E 3 y Q C c u x W L I A z L / 8 U v / n t b 8 X s 1 j P v B X P z C 8 r X 4 n 1 z g 2 m n X p p f t M b R Z e / F o P i Z p W w F f / u L n 2 k U J q d n Z 1 0 V 4 D B N b i a R E f / Y h V h s Y y v f j k K 2 m h F h W 7 T B y Q a B e 4 G X z k g k o 3 g t p q T S l P T B B O y S 9 S g w J B a K z 1 U X 3 3 l C 6 H U 7 / e y p o Z g A q x Y 3 x a T q 8 G o 7 j 7 N x B 7 d P 6 Q 4 O o y c 0 g p X Y D M 5 M v I x 4 e R 7 O 4 A j K M l C e g F s L T p i Q W E 2 p u q N g t 1 + Y U g b M 6 1 T h X 6 7 / b I E S h m P A F C I Z o H w 5 D f Z Z a A e f O y g O e Q j n n n o G J 4 + e E q k n B I E V j I 0 P Y W V l H U v 3 C q q L T 9 0 h E q W S l N + K q u A I 4 X R p i 6 s P i z L D v N 8 A u 7 H g O H 2 G d r Q k Q 0 J B Z W e A Q E w 1 F a K m l h e T a L l y T U V Q F W T c Z j b k F 9 p M e D s U d a I j q K W Y o p Q Q D c d o Y K V e h l / e v n n 3 H g b 7 e 1 S A a H l 5 S e 2 r a 3 c 1 5 p f p X E 6 H Z k 3 8 6 9 u / w G p 0 D X / 1 V / 9 B E 5 L y I C O R d v g v G o 2 p T P V q u a q W V m 7 e v K U K E b l D I / 3 h g i e l R Z I N / m h c X h O 2 9 u q i Q G h h J p a k 3 L x 5 G 9 N z U 6 o r b n T u O q Y n 7 y D Q M 6 F / 4 s H h k H F + e n i 7 g D d j X w y l Y v q 7 o F K 0 4 + O P P 0 a o / 1 U k x b 0 6 e N A v E q o s g 9 I g W G q l r p H I V q 0 O m Y k L w Q F X t 2 p 6 r 8 o W 8 n N b m 2 t R e b B C d K 1 0 u 0 E o J r B s I l V k V k G n N l H y 4 D l o 4 l U t 8 t 5 m F h 6 7 H 5 9 + + R E K I r 7 t X v o 9 d X m / R x F j t l L H Y r L Z / v 4 2 w e W Y n Q h l J m 3 H K M s z 2 M 2 2 l b G 4 F C B E V K / U t H 4 T u g B i 9 9 l C l f c c l L E Q s 6 l k R 6 I l f W g / Y O M R J k K n d U 1 V r g q R + / v h D I 8 j c e e q a A 0 X Q s G A C l g w G M H W 8 c q M k + / 9 8 j e / U n 0 m o q k F / N G b P 9 5 a z 9 q Y i 8 M X 9 m j a R C 6 J m i M + x 8 B R E A m G / 8 N h e D x e O N n 6 T M w 2 h 7 F 7 O y 9 f v w W u v T H i R 8 2 l w u Q U J H y Y a J P 5 h 6 w 9 Y + i f W 5 C + 8 s p L G O o d w v L a C i Y m D i D Y d x R J C u q H A J n p t V 3 q 0 A j 6 j H s y V E c u p j b 4 2 g 2 d I g G u 3 L y I 0 Y O 9 o M / u D z g U M 6 U 3 M 3 B 5 n F i b 3 E D f w e 0 5 f 7 S 9 X c I E L j v L o L 3 w O z T m I P i H 3 X T y t r j S K s b x L d S t 2 C z O a e X q L X D a P e j p H M T A Y D 8 O H B r A l c u 3 4 K l 2 Y + r W s k y y D e + 9 + w F W l u e R r g X E f z N p x 2 8 J 3 N 2 e a N 2 w q 8 u X Q 6 6 s M T k 3 Q + 7 s S M j Y i K l k U B U h x F 4 s Z c V / s s H K 9 m a 6 k u B C c K q 4 o r S w P R 9 E H z X w A 4 b R D W R N a 1 q U + / S v 6 s I 1 J b E + 6 u k c b l 6 / g A M H R l W l L 5 m J W i V X z i I k l s v t W 7 f x 7 P k X 1 U 6 C B 8 a 1 Y k I y E B f v m R R Q t h b x + a d f o I C 8 2 j m x t 6 8 H n 3 / 2 J Q 4 f O K g 1 d G E r g 5 Z U L 0 I F M / h Q w S c 5 Q K b i c / m j L C h h a A b P E q m 4 2 g L 0 / P l z W u Z F 0 Y H O v r B 6 z k Y t D 2 u V M K O F G 6 j v C F 4 K g 0 Z 7 h c 3 f O J j H V M y B s J g B G e F u 5 t T 1 + N i + S h M e M 2 v X c f n S D T z 9 z E 8 x 0 h V A e i O j 2 l J x r Y m M x I H s H m 9 2 3 M y h X 5 p i l K r a 2 b b D n P 7 T H u 2 / R 9 C p V T u d V x w q B S i f L a A g T r B K k Z F / 1 5 b W E M 3 q J d j f A v y u K p 4 b L S F d W B P T q g / X l h 1 7 9 t l + S 8 Z f Z R c I W D T H P g k R P f y / e G 0 F Q 6 c b 0 U U 2 6 m R 5 C a u A X S G v m L 0 W 3 E w / + i h X J r U p Q q 6 G Z 8 e 5 f S k T W m u 4 8 / U K T p 4 9 p F q Q E Q t L 6 / j y i 8 / w 5 p u v q a Y y R V c K s 5 N L y O X y O H f u K e E H O 7 x i Q d C P r l q Z + v Q O X n 3 1 J X T 4 I 5 r W f U D w G v 7 l H 3 8 p c l b M s t P n M D w x p I J i Z P a W 2 I 7 a S G 2 v z A k y E D / D W A e 1 E 6 u k + Q 3 u O G K s n a o k a U 4 F e U H f Z G J X h u r x V 3 B 6 Q K 5 o C 4 2 P x s U c S a Z u I 1 v c R E / k M G a T A 3 h m u I T o L N d r I i g X t F b D r Y q F 2 F x J o E N 1 F t 2 Z m F i y z o V M B U r i N l J L U d U D g N 2 N e t k R S S Q u z / b + / W / m B z 0 o j v R 9 K f d c R 5 d H q x 2 7 s + b D R l Z L d 9 o J L w 8 U R Y v K u L c q G x E 0 a B E 0 i c I S q s t e 5 L v n M R g 4 D a u Y R 8 m U D V / G d 2 f a h w X n 9 s 3 B I j 5 Z L u H W h f f x v / / 1 j / V 3 o H Z H L w r p f P K b n + P 1 N 1 5 S J i I X o z c X k h g 9 O q z 1 4 z C B Q p b l G P z b G R G C V Z 2 M 9 j + / / B 7 z E X / y k 3 + H h d k l D A 0 O q r 2 K 1 0 p F l M U 8 H j L V b B l g C + V E z g q 2 C k i I s u j y s g U B e 5 Z U s c M y q w J / a 7 V Q Q r 8 p 8 m l g V 5 O P k Z F O 8 / Y u 6 g a 1 x 2 Z y R k y M V X R 1 d a E 3 M I I B l k D L W / n N g q q X C i u G E V 4 w M i d 0 c O W 8 m r e o x N j d Y G 7 q S P V e j Y q D b G k + 1 4 M M O K H 5 Z 0 z r E f 9 D L u 5 R h l L 3 A s e i 0 7 + k / n K 7 G 7 X 5 m 7 d / z 2 r n e f G n p s X 8 s 4 p m C u u m o g J 9 d t Z 1 m b 7 u K Y t 0 7 x B j q p J A 0 N G L i q 0 k 4 2 x B Q H 5 z T Q j n c W B G r v + 1 H g v 6 B v x w y t w Y 3 Z R Y f l 4 r V 9 D b E 8 T C w h K O j R 1 X u 9 x 3 9 n W o w I r R u 8 M A L R Z q t / f e + w M O D B z A C q u s Z a 7 c b N o p I B F X K u z c l F W R 5 1 b w + 9 3 d m u a Q q 1 A W C N 0 N v 8 0 u Y 6 F d 0 3 q O N X R W Y R a N b u j O 5 9 f F p X F W M d x t E w u i r q q D d Y N g C + m y M J h 8 d r Y o 1 g 1 N c P l + w N F + 3 n Y d 5 U O d u s 0 o 9 1 1 L N v 9 K Z 6 B X L s 6 l w q Y k U v 4 I T a q S S I S B I + L 4 6 1 i d a m 4 2 Y h c v 2 x t w q 1 A 5 B 2 k v b M z H t c Y f f g Y 5 x F n d + y t t w c C H + j 3 R d n T a 2 2 0 x + X h R R 8 B + R t 0 / w X 4 W X r 1 v 3 3 4 w K Y Q 7 f W V R P d d L g t R a D c / L B p 1 c 7 I 2 X F h A r a F k k T O t a z W q 9 8 7 o j F b z J w s L H h M / E J U j E N 1 X G i 4 H 0 Z h b h g E 0 F G 0 a 4 B t W y J t m a L W H g 7 N k z q N r L a g M 5 r k l y z h i x + 9 n f / R x f X 7 q M P / z h I 8 R i M V U u w j z C c r m s 1 r 3 + 8 I c P 8 c n H n 6 J Y L G B y 9 j 6 c 1 W Y N S P R 4 X X D I 3 N 9 Y c W B m w 4 6 l p A 1 X 8 g O Y T I e x Q V t a Q L p Y E L O U m M 7 l F L k F R F D Y 5 X s H u H 2 8 C S l j I k z Y 0 e S j z e h g i p E p y s Q m h f H 8 A g Z d p 8 X U y 4 D l 3 8 F Q U J V H d A 4 3 + 0 l b p d A 8 u 5 g 5 B L V T N D c F R 7 Q P 5 W 5 t h Z k L Y x 1 6 s 8 O K S I K 4 n M s i f J 6 M p T D x t J b K U s 7 T V m 8 j E b i S L m r a w v Q U m o T 0 L V r A S C L r m w q l F K w 5 N + w h Z j V 4 v 7 X s Y w M U i m 8 d E o F T z a m C R A Y a 7 q w 8 + 0 D y g V 2 A X u u p w B Y S v 0 X M m F y s C H + v R z W g j D t m E X I O y F l t 2 r 5 Q T u 5 m e E 3 v 7 q Q R M 5 N c l 2 M 2 3 B e t x z 5 8 N l T E P 6 t h I L S C + f j 2 t K E H Q S E v m s P j w 4 8 m C j z x F m i G n X 5 5 A P 2 1 U 7 C b a t M I p i J x k 2 n m g B p Y W F h U m q Y Q K 6 P i K m J 6 e l Z F 6 J g r q E L t 1 a p q x M J F / i t X r y O X z e K 1 1 1 5 R 4 X w e u z 1 / Q U y 2 Y w h U w 7 C a O m J x A w l u a X N X a C W 5 w 9 x 3 d 6 Z w W r S f 4 Q 9 p t K s 9 3 Q l L 2 T w G f Q 1 z c k e G + t H h g l Z t q m c p c L 0 o W V w S Z j q j m I z 9 B I a Z 6 i 8 q l X X / J J B W r N x f Q / + h X u E I e U + c P D a I 7 P R M I J 4 T W 9 / C B F g L B g I n 1 I V z d d w I q Z s R n Y u p r I t W L I v E Z t J u y M R E L B V n V 1 K j I p d g 3 u H c z U W M n R z G p 3 M u c e r 3 G K H H C D q 3 r x z I q e A B o 5 N f z j 1 c Q G T U V 4 M / u 4 B I f w R u e F A P V F B m K Y d o p Q H f C c S L i 2 p s g 0 6 2 o t 4 u q Q l u 4 L a W v 6 0 K Q 2 l d T K + f E J + n f e 7 l f m E T O n i 9 v 9 S 0 x 9 Y 7 7 / w e b 7 3 1 m k h 4 I d Q d t N K 9 L y Z x 6 N k J 0 b x l f P X V 1 1 h Z X c a h k 7 1 i + j 2 l E n T N T T m 3 I N P O R q H p j R w 6 x W c 3 h P b c 5 h X U U x 0 Y G x 2 V u R f z X h S P V e j h 3 V 3 8 Z e 6 E y W Y 2 u i W o 0 K 7 k f y c k 1 1 O K T g + c P N D e 5 B t k 7 F t g T t J 0 W t 3 o s 5 5 Q z B R P r + H y 1 S s q z Y c Z 1 z Q v i O R q c w k 4 m a m c E r N R B r K W l I u T K + a q e l / g k H K a + W C R 2 N r 9 T Z G U v B T e U T P B c / G v H Y K u a h M z k V l V Y 3 w y k 0 g i U Z 4 o i 0 m g I j A D Y 3 h 3 0 v 2 d M h P B M h g j E G O 1 t G k d s E / M Z a 3 o n O i D K + D A o u U y q k K I z q x H b d B W Q U E E T a d q k r 8 T M x H W o h 0 9 P q 3 k J p o 8 / o 2 Z i e A U b u 2 0 o Y P J 1 I z s q S h Q G 9 C k G z 0 z g v h a Q i V B D 4 3 3 4 J m 3 D m N g 4 B m w J q 0 d M 8 1 e m R f a u 4 e P V o K I + l P q H B u z m 5 g X w Z l O 5 V T b M p I R c w C Z P 6 g s 4 x 3 g d d Y w L q 5 N r l b F 5 7 M u L B g B n F 0 i 5 C z H N 6 O Q K S L c H d J y F d t p K G q n d u H G + W t L G D k 9 i J / 9 7 O / x 7 / / i T + B 0 O V S m L R 3 A 5 G o a N u 4 m 4 d U 6 / h i J q b S F C d 7 0 0 v J 9 U e f D c D k 1 F d n a I Y c l H K 2 L u G S o R i D C f K k 7 j B K Z R h z w F f n D t Z z s Q y x u P i 4 w A f W 1 g w W V f X B 1 0 f + N S 7 K Z U 8 Y 0 m G I 9 L h p K n h f 6 U B M T z l y q T l 9 1 R 8 b K i w Q X o f n e I 2 q k 8 1 J 3 C R 4 x s 5 b v r o o f r c 0 r / R + C 4 X C z + 0 B w Z / t 3 3 v k d + v r 7 0 B W J I O L v V i 0 T u G Y 0 I 0 w z / t S I + p y q 8 p V b I E 1 + f q 8 G X y S K e L Y P F Z Y d m 1 A u F V C Y + h X + 8 s / / V L 2 m r 3 S i r y z 3 1 9 B O z 4 0 W c G G u 8 Z q p R D 2 B q s x N E Q H z 1 q V k L N P O 7 7 t B + e a s Z h B T c R t D c Y X + U E j E S b s w N W 1 P 0 T Z r a 2 v o 7 u n e s s 1 z 8 R y 8 H V 5 s 5 h a Q r y a E 7 G v o F 9 O D 2 e Q r 2 T u q Y p e Y l k G K C C c H P E F Y Q y K t D T 4 x I V t M C J F o 4 X L 6 C W b 7 u h 1 Y R c s W y m x 8 8 s G 8 + z s I N j w 4 X h O z 7 8 P p 3 c P l + 8 W h 7 j J G O s R c 0 Q V M u r o M v 6 0 P 1 q R T l a u v 5 y f F l K 4 j I O a f y 6 J 1 N i r X 8 + K c C x P J W D F 9 h 8 3 + s y U h 1 t n d I 6 9 7 g a H m 1 8 f F l L d b c P / L K R w 8 e x D V f B 3 / 9 e f / F U d f + w 9 4 f s y r a q l o S d g d V p X M b N R S K Z i W R x Y T d z E U 1 j R o N V / D 0 t Q K k p 2 j W B P / 7 / x Q C V / r O 7 / v B L v c 8 + t D R b w r z M O E n a L w B u m + X 5 j n u F / G i + a c X G + d m / N x w V Z M x m p V / F P W d M n Q 0 O c y + 2 B 7 g h + V U z U x F M O F b 4 r j z N L u 1 h 0 s S o k K n G H x l + T f 3 / 7 t 3 + G v / 6 f / U R 3 n X r E 1 e X D L G A N s 8 c W y c D P 4 O a 6 U p 5 M p H D h 6 Q C X c t g M 3 Q + N u f E R N P G d u 5 b k T 5 p N f o 9 f 3 N K z i w H 6 Y 3 H 8 N 0 L 9 F v H 4 g j f m E B + N d Z a Q K R f G N 1 u C p d M M u h O O w k H l 3 G M e a H G d G B Z c 9 x G f O F S 2 4 u G H f l s W x H 7 C j 7 S t j R V U f Z g 0 2 S 7 Z f X F h G O l 3 A i y d y W J p O o V w s i z n 4 F I K h 5 r o 1 Y i l 6 S 0 y x M F K 5 G K p x D 6 b t z b v 3 d w j t x J l E r Y O + z 5 g I F X M j y 7 f E y o q u i F n b X 1 E R U C W 8 Z S z 4 W d Z H 0 Q r j T i r b G s o I m E z A f h r 0 6 z l s T C x o 1 a 6 1 n P B L i 0 x U W f I G Q z G C 9 O a h o u q O a r d 6 s B m 1 o 7 / b J W q 1 g s R q B u 9 e v g C X N Y 3 T 5 w 9 i L j G C A / 1 d G P I L 4 z j s i B a m E L t U w 9 G X G k z I Y A B X r 6 u i Z W I L c f Q f 1 k L p L O 6 r b j o R 6 N 1 u s 5 N Z W d / E j q 3 7 R W m x B O e Q 8 7 E V k T 0 O U M K y R T I 1 w g 4 u 4 j c G N d e o m C z V n J i A X i v S x a j K m 6 R W U o n H d J M Z z d J r y L Z B i K M q W u v j B b e K C O 4 H R s O Z d q A F 8 T f v X s c L z 2 R x s O d 5 J W D v b z h w u K c 5 9 J x b L + J 2 K Y D e 4 E X 9 C L X K S X x w f / 8 + H p n m p c 4 S X O H a j v n B t Y z O E D u 8 T 5 h 7 E 7 L s D A V y l / w n 9 8 k S m m 3 g c O p P V X s p g o 1 G E p v M J h e W F P O O G c V d o y G c f t q P c 8 8 d g 8 v t w h v H Q 2 I a V p G M p t Q P d L n H E e w I 4 K Z I h D V K O z k x 8 6 r o + z g 9 D p R y j T U Q C x y K m R g V a Q X T O s j Q i a K 2 3 k K s 3 G 0 U o r X D 1 V r g i W I m S s Y O b 0 2 k O b u 6 7 p 5 s + U 1 w P 6 r 5 T W S m 4 l p J x j W q 6 o 9 Y l K g K J M X 0 K V t Y B E p u a X 6 I 8 Y P i d E l 8 M d F 8 Y r H Y d m K 6 F v T K O a s 7 1 J V y j 4 K / f u s U O m y a 0 M 1 X r J g w d c Z d u s c + 8 s C F Z A j j o m 2 G g m c w K A / + 5 V I A r + G I C I n d c F Y E l d 8 p T C R 3 4 J R L 3 o m Z C F W q v 8 v 7 R J 0 F p D p Y x U + t y w 0 Q 6 N O 1 B Z n N 0 F B K B Q r o + L H 1 r V r X M Y E N Q u b v b e L M a W 2 r f 4 L b + X P V m 9 K G o V e e s C 3 k F 1 j H w 3 Q T S o Z 0 R h i x b o E 7 7 I C L e 9 S a w F w 0 9 t Y 2 g 0 6 f O n 8 L V u P 3 c C N 6 W n / 1 / Q T X n t h c k s 3 9 h 1 q S K 1 k t y / c e F 0 K e m B B n A I X a J X R a h l G q 2 J G x z c J q d a j O S n v D 0 m S + X 5 8 R g c l i v h 0 w 3 l n G c L U K Z 2 N d v w m z s 7 N q J 8 S F + z G M H u l G K S / W h c e J m j A 6 i y X Z 6 p u b x x H c T O 9 g Z w W 3 V u 3 o C 9 R w f V U T E O f E L 7 q 0 S x c p w u P I 4 M U R e 1 s f 3 U B r Z 9 x 2 Y D K D N d R G m P D Q D r S u W N B h 0 y R l P m a D J b + d m Y g O 9 y B u 3 b q l v 9 J Q p a c n W J + M 7 s x M h L z H A A M x N 7 m A Y H c Q o f 6 A Y q b V e 8 0 a q J W Z C M V M L f e 1 c T / 1 v W c m g p f + y o H i N m Y i 2 M + h j Z x 4 J O C a V z L f i S v L T t x Z f R 5 V X x 7 L N 1 Y x I O Z T X U z x 7 W g M 8 H z y E r K 1 F Z R X x U m 3 2 J G t a H N 0 z F f Z E r z t M B N z w N Y l w p P B q 5 b 5 q p Q r 6 O n u U R k T Z K Z M P I u E W D j i M i N e 0 p i U Z S M G l h L c k d G l 2 s m R m Q 7 r m + y 1 M t O Z g Z I K y p i R L 4 s / T f N M R 7 r Y 2 A n S w F 7 M R C h m a r k P B i t 2 o 3 X F U F y c n R J H d K 2 S a d t B y M C L L z y v U j 4 M R B c 0 s 6 1 z V A u V G 2 C C I a G 2 m 9 H h 9 r u Q X E l j + P i A u h l q Q q J P f K v o d K z 1 u r e B / R z Y 0 5 z I J Q q 4 U t 9 B D H 7 P s J c 5 e r J v d z P m Y c E 1 L 8 K p L 6 Z + M X k Q S 7 1 i P o k d N B A 8 g Y X k V c T X G i 2 U 0 7 V l / R k w E j o H b 7 0 f H 6 b 8 + H j a C 5 9 d G 2 v 9 z 6 5 M x b V 5 9 Z v y 8 3 f X 7 F j R 2 z J H h W 4 2 i g H R e O o l P A E P e k a 6 k L V b V V k F M Z / 4 W r 7 W o A R G 5 Y 7 2 l H G 0 t 4 x 7 Q p / t w J 1 F 5 u P b 3 2 M I m 1 p o M z s H e 6 Z N v 4 + d y b w J Z v O O t V 9 7 R f 7 U 3 e Z L W h + D D p 9 X m X v b Q B d I 1 L G 1 y s 2 8 G q z t H 7 e o d l 3 M K j c j m r u J Q i m r J E O i 0 J g o h 1 c k m J 4 N o d p D 6 e g + 0 I n b M v i 7 o e L K q K R H x v s / W 9 e z 0 J 9 A p G s N / 7 A q A 8 u y m M c J p S 1 M e P e e R 2 k g + k m O D o 1 a U r U F B K y D 6 r m B z + c 1 T c B o H 4 U C B e 7 V p U a o a y e m e v 9 + Y 1 / c w 1 1 l 9 A d r i E a j + P r S N a G 2 L 7 G c + l o x z u Z K H G L p I d 1 w r z E S P o 8 3 + 0 w H B H f W H b i z t s M 6 2 g 7 g 1 j 2 L S R s + E A 1 3 a e m I a i P e C u 5 S u R 8 w u m f k s e 5 L q + l / 8 e G U H R e X X c g b X f b l Z l X r X c 6 3 n P T j C 5 + o d s Y + u w / L d 9 Y w f W k O x W U 7 h o 5 r 3 M 8 b W N c L 2 n p 9 b J T o U 4 u 6 Y f e A O k Z 4 u Z + s / J u 9 P t 8 I V x b E a c 4 U 0 Z 1 Z w + r 9 q C r t i M 7 E 1 L 6 s R C w / p + x 4 7 p K e u G X B R y u N S X 1 U I F E / L t O L M C 8 s B q y N C G Z d R O j H M u n f J v q C 9 8 T s 0 / x g b p K Q i m X l m v q R r M 1 t r e F R s u e 4 J m Q C Q 9 L R r B V / M H U R 8 r e x Z l i M y P t l a Q w D U 6 l F b Q v R H / / k F f 0 T G t h x l m 3 J B 7 n m q Y N l 9 2 z f v J s G 3 A 9 y 4 p t 2 u G v q W n r 9 I j j C 2 6 + z N a O j H W q b c o F i O m Z t Q p c Z G Z + 0 V f w 9 C 1 b F N T L P q R l b o 1 a t a b V L F i P V Q 9 7 h w q A W K a l j c n 5 d b V 3 i C j g x c L Q X k Z 4 O 9 I x r 6 f I E + x D c W 7 M h n r c o J 7 a p y s K E f L K I k R N a M i y 1 + / 2 r U y p l q X u i E 3 2 H u h H p D 8 M 3 K J r M b U E + V Y A 7 1 y V m B K s 9 U + g 9 M b 5 l T j 4 M X h w v q s n i H l d m U A o z e P C 4 0 E 4 L l e o p l P E 4 9 l b Z H a u p w 8 I U Q T G t L B g O P o V g p w / x l S x s F T 8 W U 5 d U Z s W d h Z 0 1 g n l j B 6 O h S z u Q O S s y V 6 5 u G y 5 c u C j 0 o G V j u B 0 B R K J H 1 X J L I d Z M 1 A U Z D v p W h F s 3 V R 8 G X E u l 7 8 i 5 X s v Y c H l W 7 q c l Y 2 Z P D S U / b 4 3 I v L n r 8 N W 7 E P G P q o 6 9 3 D y u r 7 O K 1 z u L S u k w 4 Z i L w 0 Z E s G l h l 7 l x z w y V s C R 2 r y E 5 u P H v z c U i D v q j G B x s a J v U R k Z t E W k G 1 1 R o N 5 9 s K k p s x t T F W f S O 9 2 i 7 d p j u a f n 2 G g a O N d K O 2 N 3 V Z 4 8 I M 2 m T e / / C N B Y i x 5 T U e R i Y p Z 7 K F C n n 8 f l s c 4 b 8 4 8 J u E v f 7 E P J / b n Q O 3 N 6 U Y P u A + P p p L O 0 S z S M Y a N l J u 4 Z E O z w z U s J X 1 6 Y w 0 h d A R 7 B j q 3 1 3 / n 4 B n k O N e 6 6 y W 5 N P f C + d h 6 k d 8 y k t 8 4 Z m 5 s P s O s g k 3 b N D R R F k 4 j v O u R A Q A e o S R j i o B z Z a M R + 3 Y a S j C m 4 Z p J p N t Z B Y P S 3 i p 3 X j g z b g 5 5 p E D C t u e b J B s X s N c G d G N u O 4 + N U V l T p v o J W Z C G o l M h P T g d h A p R 0 m n h m D v 6 u Z m Q g y k x E J J J i N b c 5 B c 7 m c C H q 2 R 2 v 2 g 5 d F M 3 F g D V A T f 1 v M R L R j m m R N q 1 v 6 P s D o / + e M D a P H f m R P Z i J 2 M 1 X Z C I V 7 / S b c J 2 D x 9 i l m K q 9 o / p q Z m Q i b u M M G M 6 k q X / b W s 1 s V I z E X k + 3 M D H P c 5 W g 0 W N 0 N 7 B P / 1 Y J b j T v 3 x F p J 2 x A h I e s w f C L D N y M z K W a g E m 2 h y 8 X U V Z M d h 1 1 9 f Z q R 2 3 S 2 c i h N 1 Z 2 9 / h q e 6 i + j r 7 c L H 3 7 + e / 3 o 7 m B u X a q 0 I q Z U 8 w C w U H A 3 b O h R w 1 b U Z D B G n h r C s V B z N H G / 4 F o P B 9 b A 4 8 p O 2 A n P j W x f w A 1 Z x 2 T i H 5 + Z + S D I F L t U u l c x W 4 T V Z U W / m P o t c a Y H x l z c L h q h r K J w h K N f I 9 7 i v e a x q O k m Z G m u j G 6 h N d U a O u B G T j 7 W H 6 o i U x J z S m i S a U 3 F c i P X p 4 X u d w Q j j g H x 1 y M 9 M u l y H m 4 F V P F r d H k 0 U F F p U s R O G o g L y 2 q V W A d 9 M y K W m 8 d s v H k j d M i Y N T E U 9 z + i N G C j C z P u 3 r 2 p i r q G D n Z s m Q Y q w 3 Y X s J S A h X Q r m Z v Y 0 L e Q i a 8 0 d r 1 o B / Y O J / L p A m a v L K g F Y 6 7 u T 1 6 c V s e / a Y E B J d b l J S c + n P p 2 z a y K p R G e J t h r g b C 1 z V / 5 9 n F 9 x Y U e / 6 G t I s 4 j v V k x 6 f J 4 h c W C 3 w C T G x o T G R p 6 I X F J 7 l 0 4 x U Q 6 V p 3 W n K P y W d P x f h m z 5 a Q N b x w s C H P X l Z 9 r B j / a 3 2 Z 3 S Q N G G f v L Y 0 W k R Z j S p 5 q 5 s a w Y 0 V n X / D n 2 5 N g q J t w F K t N d F 8 h B 3 R / 2 O c N i k v a J 9 j N t L S n Y Y i i b r Q y X V T P j u G E w w R K M j Y 0 o e r q 7 c e 7 l C f R 1 j C J b j q n j J P Z M I Y Z y r S g 3 1 z D V D H C 9 g 5 s 5 q 5 0 N 4 V R p R T 0 6 w x h g V 6 I m 6 P d G C T X 2 1 D B S 6 2 k x B 6 w Y P z + k q n a 5 e d o L t e a a K z P o q 5 w S b b o T r B Z t a 8 l v G x 2 u 5 l Z l h v Q 3 o m r f B 3 w x 5 0 b n o G Y B c A d K R v 3 y 9 T k M i B R / F C B T 1 e p + X H H 7 c W F W s 1 Q 2 W / t c C M 2 W Y w y z O 5 G v B Z W 2 y g o h P z u 6 X c M T K + z p 3 g Z M o 2 N g g l g Q p m R Q q M t f x d j J A V i Y t P s Q 2 n d e 3 6 / M q w e Z a Y X 1 B m f R 2 S L l t + 6 o J 7 A m P o v 2 S 3 V 9 o + V 6 1 Y p P P v l c b T f S 5 R 1 X T S S N + q Z M N Y p E e R F r 2 T t Y S l 9 X D G M G d / l j r w O b s H f E M 4 z 8 g r W p F C N f T o k G u 7 f V A 4 E w 2 m U Z C P V p h B i L r q p c K s L p t a h W Z u 1 w J z o l 0 l a T i u 1 Q q z / E S D 4 m Z G p L W / l 2 3 w f Q J G Z T E 6 L X c w g + S y / C 9 l G 1 E d 6 j w v 3 o a R E m G W Q q m u C e X L e L g G s w B d e n 7 G E r q i w e d a R w y h d V F s U X s 1 p 2 u P F g F s h u Y K 8 I L i i z / o w J w k 8 P l z A k T E b r i 5 U R b S E 6 g Z E 6 t V V P C 1 h T N x q u C P 1 o Y 8 H N 7 4 i T v Q N w K s e r g S 0 K P 9 G j a 4 9 y 4 4 T D 4 V M 4 f H j 7 d i Z k K g Y N 3 L a g 6 s E d c Y + o L P G V j J a a x K L A 2 E w W j u g g b G s 9 W L i 2 h O 6 J Z v + H j M Q 1 q U 5 3 c x k 4 1 6 A I b s 5 G l P J i W 3 c P K W Z P R G v 4 s B B A f o e i w Y h H K / v 4 P s F w q I l k b Q Y X 5 r X M e D c G x Q R q L 2 H 3 I p j H B X P m h F 0 3 R 5 l B / q j w y o G C m H z d e O t Q C c n 1 J J 4 d 0 3 b 1 N 8 C F 3 W q m J s e y 8 H f 7 E O o J 4 p R n X f l Q H 0 8 1 g i D 7 y S 5 h 9 g X b g 3 G s 3 5 9 0 4 S P 5 / q f i S x c q V m Q r 4 j v p n + O 5 V b m G c I I l V N O S X 8 W v M r s 0 7 O D E 9 4 2 0 O D Y V j e X b B 5 V U 2 H w w d B 8 B d 6 8 4 b 2 5 x l u X L J g 0 w N T W N A 2 P j a p H O D A Y Y X L 7 t i 6 z 3 P p / C 4 R e a + 0 e X M q W m x u 8 b u W l V 9 9 T p G d e b X D a D E U I y q 9 P u R m o l g 9 X 5 K O Y 7 9 p P M + f 0 F J a t M M T 6 c D G C X P Q y + U 0 Q 2 7 + P c 8 4 2 F Z 2 Z V e B w 1 k c g N y + K b g G t 9 X B A 9 L x q j n t h E 0 V / C 3 O Y Q n h / V T E A K m E G 2 M R C B Y i R D U z h z g 7 W 1 x X W s + Q d U i 2 g m z j K k / q B Q 8 Q E h b c 4 F K b y Z o p v B G i p r u M E H r T A K W 1 v R t A 5 l 4 K W x D F w 5 O 2 6 m y o i m i j g 4 F E a / N 4 v Y f A r F X B F 9 B 3 s w f 2 M R o c 6 g 0 j J c M 6 D f k 1 h O q h Z h 3 k h z 5 d X m f A K e A T H V 7 C H l N 6 3 l 7 q p 9 b b l B d D u w f o q 7 J G 7 M x t B z o H v X B h t P E j i B O 0 / R 9 w M / O q w 5 2 W S m R w 2 W Y F T 1 q N 6 x v q / R l T 4 M e 4 d I f T H 1 b 4 u p f i R S U S H u 1 Z p N + Z c G o x l Y T t 1 U e Y j U O q 8 d L C q T z g h 4 7 I W T f S X E 2 B o h Z V c M t R 9 w a y A 2 e D G j x u L J X Q I Z b R m q H a j 6 z w 1 z 2 8 5 F 9 P q P Y u E 6 I y Z W j J 5 u X w w Y L y x s t Q c r F 8 p I Y U m Z d 2 w j 5 h N G 4 u b W O 2 H h x j I G j v c o M y 8 l N / W l n l f 2 A x 4 f y E i b q w l E + r Q 8 y c f B U E P i h y w m N M 1 y t D e N O 2 u a i T 7 m T Y n Q d i I + V 8 W l I r 1 8 i u m G / i A D l B J l F A u 0 d O z 4 e D m k 3 m X 0 j 1 G 3 T n n c X t + / P / r G o b T 4 j D a E T L 0 3 d k I t L f y u e x L s h E Q 3 y s Y Q e 9 4 i / p i 8 x + 6 9 J s t 9 3 w x F h L x x 9 I f u o c s z A V c x o G X 0 i i i J r y R V b t b M 1 X k c O D e K 1 F o K O d 8 y + o T x i G w s C 1 9 r O E T H S v a m a j H F v W q J m U t z 6 D z h 3 m r W s l 8 J 9 A P 2 B 8 Z 9 W v 1 y 9 l / g o r 4 5 J e t R M 9 R r E w W k y j O 4 P N 8 w 3 Z m Z c 9 J V h q d n O w l S E 3 y y 6 s S r o q W u L 9 t R k I / k x H V 6 7 W B Z 5 R O a U 6 C Y b 9 3 O j D 4 7 W M T l p e 3 C m F X F K i t + v 7 4 q z 2 3 i v f e E J s 3 f H H L X c M h f U c z 1 Q A x F n B 2 5 g 4 h r R N s 1 r i U n T j l y c q j V 3 5 q 5 N I / x c 3 o H m 2 o d q 9 P r 6 B q O q B V 0 f q e U L i E u T m r v R P e W 7 U z Q 3 j b 5 h j / g M e L 1 8 Q y W c 1 d V 6 c Y N I e T V H U L S 3 x S j H R W 1 6 E u 8 3 F m A e 3 v L x Q b S V q y J L m L k l s E L I y L I 9 a c 1 M Q 3 N g o G C g s c Z 4 d s P m J 5 0 Z r C M C L e K f Q C w r c P 7 k 8 0 u j R k P 7 G 1 G 3 K P C F W R v 7 U L M a 1 B k h k K 2 q B Z l q b X Y a 2 1 K N E 6 w K 4 B K t Y R C K Y N k e R n V v t W t 3 C 5 + h 6 e j X 8 b n 3 E V v U h x O R m T Y F + E H P B 4 o C W 2 p 4 Y W x A g Y S N 1 G x 5 u B 3 d Y s Q 8 z w 2 Z i I M Z j r Y X Y G 7 g y H o Z u F r I D Y f V + u O L K t X r 0 3 h d a 4 / t W p Z v t 6 L m V y 6 R n K J 7 8 W C T 2 4 u R 3 q j F V S p V c S 9 S G 8 t u u + E W K G x n 3 Q 7 P L C G C n u q G M g s q t w 7 b p j M / t n s b 9 7 U 5 Y h 8 Y D J p 2 V e c J R h k G E v e D W + t H + H e R o h 7 f X I D o d E u f D z z g 3 n 3 s C B Z d m T n s O n b v a X y K 9 Y U i u I P + 7 t k g k Q 6 / + G e D 2 8 e K a g a q T 7 / e X z 0 m L N I 6 A / N x c u 4 H w 2 o F K c T f d s p u D h b g m u M O 0 z a c E B f B 5 u J 2 T H V s r l D Q E y t N B v O t G A n E 5 D g e h R L j T h e B u E f F s G 9 k G A 0 0 y U a t K w 2 4 h u U a 2 t t I G N g N z d k + 9 X s g X o 9 h v 4 j v S q c a T S j J z O x h 7 i C X G W x r K 1 s c 8 G X W e N h 1 4 C K 4 f s d 4 h d 5 y 8 h 4 p 7 F 2 P 6 o + Q z A q + A M z P T h o H b 9 1 O K + 6 n 4 6 V p 3 H u b I 8 K L v R m N S k 6 K F b B A L L o L 6 V x 1 j W P F w 7 O I t Z 7 D 8 F R J w r e G C q L Y l / w J A K W c n y h 9 3 N 4 n C A x k p k I R t z a E a d z R J P G 0 z G H q q u i x d L K T A S Z y Z w L w B I i M u k z w + 0 z K w g y 0 1 M D J c V M L O c h 7 k U d i p m I u b h D M e O 8 H j w x g w m / X y 9 s X y o y 4 4 E 1 F E E p U x X t t J y 5 j a H g K V h o s 7 E y V C T f j Y v L W A 1 p + x 9 Z 6 j X 4 8 z H 0 Q f y j Q 9 1 w + x o T Z m w A s H h j B Y 6 R A V x f f f y T + W 8 J Y U 8 J R 1 w 5 u E M 2 t V + x k W X C i m C j i J F a h 6 B f x O e s K 2 O n 3 2 I 1 g y H / U 3 h v 8 t F H 8 h 4 G N i H v N w 6 b c v x M T P I g Q S l G o m l C 8 u s 8 1 e H u k j B L M w M w M s h t T / e D Q / L 9 v k B d J d h e n H e K S b i 3 / n k o h u r x V z H e u Y L o 8 h o G e y b w 8 d L + S 9 I Z U W I 5 x R 8 m 3 R g M R V G 3 J L C c a G 6 q + Q P 2 h 7 d G 8 q o / 3 N T V W U y c 0 T J O 6 N N y O Y M o F b R O U 2 a w 3 T U 3 Z v N v n s U l U / b 2 d w n G s N 7 Y o c C T G u G b t q x u B 7 v 4 U U a k k C b i i + J L f j z 9 z a 2 k h 2 I o Y r T z J j y W I h b T T 2 G 3 y s 0 f 8 H h x x r O I 7 u F O M c X F T q G P K v 9 K 9 T S c e t v l T D K n d o c I R P x i M V g Q 6 N K W L z 4 Q g W Y s s n 7 X e G O i A F O r k m 3 Y T U v 1 B c T 1 4 L Z G O g z t Z A a t 2 t 2 i x b S 4 L i 0 6 t y f r P g Q e m q G I S r k M G z c G 1 u 3 w H / D d g f l / 5 4 e K a h e + v c B + i h 9 M b y 8 Q / S 5 B o i b j s I Z q L N L I 7 y M e 5 / K J 0 T H 5 Q U z L 3 f B Q L P n 8 W B H n B v N 4 c T C B b H r 3 G q c f s D M i 3 i p 6 9 B Z a 3 x R s G 8 Y S j F v 7 6 B D E 5 q R j k e / X k s S V J a c K k b O G i s 9 Z v E 0 i 5 z 6 4 D 8 p M e + w v 0 Q S 2 V K D 7 8 a j w U A z l d 9 b R I V c d D A f g D 3 5 7 p e T f B E G 9 0 t I A b e g z A w 9 H V M d 6 H p 4 Y G Z G j N O Y j V 6 7 h 9 G A J r q 4 Z 1 U b 4 U W A 5 y c i Z Z 8 d a I Y K B i 6 F I c 7 n N d w 3 2 L u F i r f H 8 E 9 2 f + U j + n n v A s T F 1 U t g X H v T z u + G B T b 4 j v Q k M h 7 S b Z d r 7 V 6 s O J C v f n Q / F x v v M 9 6 N U Y m k 7 + w m w F w G b h D A y w 5 s j 8 R J 3 L t 7 D 0 W c O q + e 7 Y T f 1 z 5 A s N z b m b 3 E z 6 Q V 9 o Z K / w X A r f Z O d w J 4 b L 4 Q K a m M y Z e w X 5 Y 8 X + H V h H q O V C a x n G k z A o B 0 f j 2 K y + b u v T T R X l h K P I 1 / v U Y G 9 9 d g O 7 H G B 1 s F m b m e h 8 7 B 4 Y I Z 6 Y y K 3 1 a y S Y A b w r d X z + q t v B 6 z I P N a 7 P y 3 B 1 K b V 6 T X 0 T 2 g b g F W F 6 u d v L W L 8 l J Y K t R M M p j r Q W V G P / c B Y i G T t D j O l V 7 J f C Z c H k V h K 4 M T J s z J u 2 9 c 2 t i C z Y G T V c 3 h Z + k 1 T h / 7 D o w C z r f t M J e P f Z 2 Z q B d e N W M L + K E H z 0 t C I j x I P x F C d H U m c 7 W 5 e L 2 I 5 v L t w D l f i e 9 v u 3 x S n h C h 6 T R 2 Z 9 s L 0 1 T k c O L M 9 c y D J / u 2 p O M K 9 I W z k Z k W C O x F y N V q k 7 R d M D E 6 s J d H R r y 0 b r M 9 F x Q T 2 w 1 l 2 w + q 2 w C J + / 2 f X f 4 W T Y y 8 j 1 G Y f J A O Z U h m l h T w u V X v U p g I T e r u r d p q y Q y R r / B t I V p 6 / y 1 f F x Y X / v t f 9 / E 4 2 g P m O G e q F 0 Q x 8 O 7 T D S W 9 Y c W H z 0 U o R + h v s M r O U s q t F u 9 a 9 h 5 i t w S 1 1 I g M d S h M x 2 s g S h E C H D w 5 X g 8 F r W T G f 2 i S 7 z 9 5 Y w P D R A e W k 7 w d c N F x J 2 t Q u j y Y l 3 Q Q 2 v 9 f 3 i 0 M 8 H t f 2 j R 3 S F l q r C X l P e I / n m K o s K 7 P v u D + M i F M j 7 l u Z u L z W f F J K z 9 3 K + f 9 7 A z P D H 2 Y T u H Y w F o A f B / b N U E N d a R y N 7 D 7 B d T H T C / m i 2 P 1 i F l q 6 4 H b V 8 I G o a t a 2 9 D p j q t e a 1 7 + z p C a 4 k k 3 G q W S s c A Y 0 b c Q L N G 6 f u z j k U g U E I j 7 E R F J 3 t Y m S c X M v t f + P A f M J 2 i C X z s M b e D A T K L a 8 i c 6 B l r Z m v B T + j j x q p T r + 5 e 1 / x X O n n k d f X 5 / a 3 G s / v b E X 7 i 5 h + M j g r n 7 c f 6 8 I u 6 t I F G y w W + q o P G D D U / q t b T c d e c T Y F 0 P Z r F W x 6 b 9 Z m L W c r O I 3 0 1 V 4 f d v L h g 1 Q 6 r / W X 8 B n q y 5 V O H b S V U X e m h E m q i K 1 m R J t M t i k A f a N P R j K A P s C d g 1 3 q n 2 L 1 u Y 2 U M g V F K O l 4 i k c e / Y I 0 v E M V s Q f O 3 x + Q u 0 e w p 0 Z u N + V v W V D d + 4 J a / N Y U S g U 1 M b M H R 3 7 j 4 T + 4 b Y V F T F B f 0 B 7 k E a O d J X h F 8 u F W n w h Y V e Z 5 i + N F e F 2 1 r G c s C l f k f 0 k 2 M 6 Z g o m Z O V n R S J f 3 2 J f 3 U W B f D D U y E M N h / 3 a b i V E Y R m P 2 A 3 a T K Y k S i E V t C M m N / n 4 2 j Y D e u J K 0 z m h d s F 5 T q T S G J G c W e s / B r q 1 d w C v R 7 c T b C h J 6 6 + 7 1 + 0 W 9 L L / P D v b 7 x E 6 / V R H T z i 6 m H X d A j 5 C Z 9 r n w X a h W 8 c l U + 0 L M H 6 C B L c H Y x Y g p V s V K V p h m d + n K w M 5 0 7 O F a O j 8 M 9 m S o U w N i X o m q 9 e 7 g Z 8 R z F n G U d 2 c q d p F p b S g 4 f W c W o e 4 A O p z d s P p r q C W t q h m 7 g a m v Z j H x d K M j U l U 0 g a 3 d 4 j 5 P K / S 6 E 3 H z u C p j F g K v y z l o C r Z u Q E x U k 3 X Y Q t s J f 4 0 7 L o h 5 Y W 6 q u P V Z X u 4 u / H f 7 1 h 0 c O 6 5 V L e 8 H h V I F n 8 w + + g w G + n x z 3 x J B f R v g m q I 5 U Z U + U V i O n d B 7 M l J j s Z 5 u v 0 m w j x K 7 i m M u 4 H o q 5 R 2 Z i d g X M 7 X 5 z I G j Y 7 h / Z Q Z l Z w 7 l e E 3 + F r B w c w m z l x e R X s 8 0 M R N B D d U W x p h Z t d + g C c Z 9 X m v Z u g o C K C a T B 5 U E e w M 0 M Z M w B J m D G 2 l Z X B b x v e Q 7 6 e Z r 7 Q 2 w J K D B T J R 4 B u P N J T U i Z R V y 1 d Q c V m / f h r n 5 e e 3 J P u F 2 2 v F U 7 8 6 N P B 8 W Z C a G 4 d n U 5 N 8 C W r O + V b B I z D + a d 3 y w 5 O O 7 Y C Z i G 0 M x s j b a G 8 e r B 3 M 4 N p h B M O z A C h t N P y S o I U j 0 h U o N C + J P Z E t l u d k a q i J G T p 0 7 g V / + 4 t e w i l v l 8 j o x f G I Q Y 2 e H E O j Z L q V 3 2 4 C 4 y r 2 z 9 f I F N r + 1 i d V k 9 V l U R I 3 Y 0 Q S U c 9 q C F r X r Q r J u R V o e t o C c p w 3 d L a d u I J a d b b L e W M 5 N S X h / 0 y F M p j E S m c v 4 f j A g F 0 M O 3 A e M b X r W C v E d d 4 n 4 J u C C M / 2 K H / B 4 Y X n / e r z O F J x 8 p Y r 1 Q g k 9 I i X 9 p p C z g V i u j I j H j l i h j C 6 9 w 6 g Z N S G c 2 V w e b C H o k I k r W c Q s k v m z C d U O O Z x w c N v z F j C s v L 4 e x Z H D h 1 V H G T Y Z 3 A k 1 0 T Y 0 2 9 q h K t r I J g y 0 H 7 D y c y N r w z N 6 A / 9 q X L 7 b o T V E f H W i q B o i q s w K 2 g 2 m 6 j W 1 1 Y n 4 g P U y t Z h o X Z t o N p G M d l M n N O 6 N o O I J w s A U J L l i V o X y u X v J T u D 5 V A 8 O Y e 7 r y w 7 0 d a X Q 7 f T s m X X x A 7 6 f s M Q 3 1 7 c C k B S m + / G f c + I 8 1 2 T G v Q 4 H 1 j J F 9 A f E M S E v y H d Z 7 s 6 S + P 2 A 2 9 f 8 / c 9 / j r / 6 q / 8 g t G u D b b e s R q Z z 7 R S k 0 X / 7 g W H w 7 x 7 f r c a E U X Z r J t I G l b U 6 E r Y Y w q G w 2 l y s H S q b w n u m y D u 3 v + R O 6 E b u 2 u P M s v 4 B j w c m G S y Q F 8 v p v Z s A e m 0 2 2 G 1 M 7 o y J 1 t L D 6 f q J 9 s t M R F 2 0 2 N j Y G B z C m L s y E 7 H b E t g u D L F T y T L N R P U 9 4 7 s 7 W F n V + I M z E 2 H v F V N y U 8 z I T F o / 0 g D 9 P M L M T A R N P X M i 6 A / M 9 O S h i Y p j + R I G A m 5 k y 3 v b 8 F a x a 5 z Z I F z 2 h 4 9 K 2 Y Q x V 1 Z W h H D 2 Q T k t T M M m 8 j T T m K R K 1 H Z I S G b b X 6 I i p p 0 B 1 u L Z W p f D q E Q a Q c Y t t A u o 7 B f + I T e q m b p q g l / j D s 0 6 L D v U L D E D n r 3 n D L y w w 6 4 T P + D 7 i y a G i u j l 0 l 4 x U U o 0 4 n d A L W 9 R D r o 9 v I t q 2 C e Y 4 7 Y X Q 5 m 3 t u f G x t z C s V y x 4 H h v W W V S E 8 b u H D v B L n 6 S Y e L t G O C Q 4 0 x T M u O b 3 O G N G z d V / 8 F h / 3 l Y T e t b F s f O Z / X K F H y d 1 B r Y f G 7 a d f E H P B n Y m u X p X E 7 s P 2 2 i + X + n z Y q y E D r / t W K j f h 9 V S 0 k c 5 w o q x q 7 x D w H 6 Y e l 0 W u 0 S r l 4 n m i m d 4 U + a b K t J q y p R 5 p b 9 X N j j F o 7 P i P Q e C D X C 2 U R 1 r 1 r H f X C H O e d P 8 f n O K w a 7 Q 7 5 b K o p 2 F L l k j j K a w + s G i i a B Q Z R q N V z 4 o f 3 0 E w l L Y n O 9 X p Y J d A h R 0 y H 2 m n b e I P J i / n l M T j X 3 I s 0 6 Y k i U F x B w 9 i D k 6 t f f e X C k k i k s i 8 l 3 9 O g R / Y j Q X 8 6 i 9 Y s W k K A V j / O l z g w M v r E G i Y u V D 4 J a T p j l I X u S 7 L R o v B O U 3 9 U h 1 7 m w i K H + o a 3 v q r Y P z T J j G 5 K l E k J O z Z w l T v a X c e O H J N k n B m p 6 l / V 1 J u Y + s Z T a j F S 1 m X D r 8 r 7 P 3 Y H B w O l v x E x E M B T E 1 P R 0 k 8 l H Z j K c d j I T G W G L m c p 1 F U X Z j Z n M 5 u E W h J A f l p k e B M w z J C z B K t 5 9 9 3 1 0 d 3 c p Z m K y r j q + B z N R s J m Z i X 0 i f m C m J w t q i n v 0 d S V a X q 2 b f X U 5 X S K h L W r N h W B 6 E D v r 8 N 8 3 R V W Y 1 e 1 y q b U a M y w 0 u 8 g Y Y t G Z G c G q + x 7 t m I b r V E R T R o V x K 3 s Q 8 p 7 Q v 8 9 F 3 J 1 Q k 2 t i 0 i 7 z 9 x L J J H 7 0 o z f h d n M b T L k m + V q 1 Z X / j z d w 8 U s U N J M U f v Z U U l S a f K 4 h v a D A T 0 S r c f s D 3 H 4 p U X L o P Q 7 A E g z t l 1 w s W 1 N J W W F I 2 k b J 1 I d R m R n s U s F p t Q o B C T C 1 Q / K U k e 3 u C 4 i J r X Q 8 e U L n V M q K 5 d l r 0 f Q S t E 6 h Z u O P D 2 f 6 S 8 u t a U R d f 0 C q M n I g n c P f u P U Q i W j y 8 V t Q 0 K m G T Q z Q F C Q q E i G d E L I J u V U 5 / 0 B J W 1 b o X Y j / 4 T U 8 6 r I l C Z S s Y w Q R V i 0 c O B o W B 3 E I M A S E U U 8 I q w Q r d x f Q 1 J I r a b v D f B N R M p 0 + f Q j r X J n 9 N L o n X 0 A 4 M e S s t J u C l W / 3 t G Y / n I C F / U 1 C 7 s C n i / Z g d r 3 V t D 8 J Y G M A p l / H 2 V 5 v I d r 6 + p W W s r u b r o l 9 F K C 3 K a + M e L Y K P V p + c c v Q f s D t U U K K + K S L Y L 6 b c H q F n A 4 z 8 P Q q T j / i 7 v / s H / O Q n P 0 Y 4 3 F x 4 y I h f K z N / V 1 D 5 i D Y Z L O O W t 6 I l D S R T K W W + u u R B V G J 1 L O T s m M o 7 V A 0 P O + Y O B K p b 5 e 0 G K u I X f j r P 9 b R H M 5 4 / 4 L v D c + G y x l D 6 6 + 8 E i U R C f K k q O j t N 6 Q j k I 9 I X H 8 q k E 2 m / e 9 n L r m D S 6 n 6 q Z f e L d l E / + k 4 e l w f 3 k i G 1 Q E s G M j o i v R Y q g P s k s C D u X t S O l w 8 U 1 a 0 x h E 7 z z y Y W w X u z D S 3 F c g T u L L H + G J q I / I B H D 6 Z i M i e a O a B W b r 7 L 7 T u / K 4 T D Y U x O T i E p j r y B W k p E u l w k U 3 e I b 8 J M x K N k J o L M x P I Q w o j s 0 W / K 5 D I 4 M 1 C C W N F b z E R 8 m H S j U L a g 1 1 / F K z o z E c x Q Z 3 K t x W n B G 9 3 i G O p g l 6 V T + 9 j p / A d 8 9 3 i t t 4 T j M l d G q z p r p r y B b L k l B P U t 4 5 l n n s a l y 1 e R T m v x c p p 6 d a 4 b R b h w o w 5 9 Y 3 A N 6 F F C M a n w l L k c f 2 M j p v 6 y b a E x w A Q D E 2 4 G d X a 5 l 3 r d o r 7 D B 7 d v + W T G t Z U F 8 t 8 T T g h x s k 8 I x 4 G 9 R c y 1 a N 8 3 R M S K s A c b m 8 I R u s l H a f u I K L c F 7 A f x + R e f 4 + D E B F z u R h T L 5 X L D 5 9 N i 4 j S X c r k 8 e n p 6 Y K + L x 1 7 Z f a f t 7 w I 0 z c w h + X Y Z 6 O w f w S 0 j f b 5 G u k V L F U g 7 9 2 s L t Z R 8 N t j 4 D H f X e 5 y 7 C X 7 f Y B Z C 7 U C z 6 o M 2 U d b v A k / 3 Z h E I 2 L Z 1 v 9 J f P h 5 m I h h y z u V y 8 A e C K h n W K g + L 1 a q y C B Y W F 5 H J p n H x 4 t c q p 8 + e d 4 I b I X 7 f m I l g y J v m X V 0 Y Z q c M d A Y k V l d X U S w 2 k l q b 0 / l 3 Z i Z C M V N J f k c P 9 Z e + o 6 r T b x P n h z V z a S 9 m I l q 2 b v 7 O 4 C u l E A 5 t Z y b i k Q c l 2 O n n n / 7 p X 1 R + H i U 2 A w 6 9 v T 3 4 s z / 7 q f 4 J H f K r y Y U s C v Y c 1 l f W 0 d 8 1 g K 7 R / X c H + j Z h N F 3 Z L 6 h x q a m 6 u k z V h w + I m u L J u m p 3 z e W F X 1 1 f h K d 3 Q r 3 3 b w X 7 Y a J W x H J W 1 b 2 I g o p J C B Q 6 B g G z B R 2 r q E N i i j 2 u R p 5 e + c 0 X J 4 r Y L J c R c Z i z C D Q 8 c o Z K J J I q A 8 K I 2 h l p R e Z s i F r c C m v H d x Q S p 7 n 7 L V h R 0 W g U k Y 7 I v p t o 7 g Z q P A q q o D e E v F g T n + 2 S s f E k g K V v r x 9 8 c G Z q h 1 q h D k t Z T s g Y k M w t f W W S X D 5 X x 4 c b d b E a t O i p R x j h R L C C v D B d R c a Q u x J y K 5 t y z a o S r r k d K s 3 z E / 0 l 3 F z R G J b 9 / 5 i c k 6 t q T N v v q u L E q B Y s o v m Z K p X R 0 V T d D v z / x t g d I S P U c W A A A A A A S U V O R K 5 C Y I I = < / I m a g e > < / T o u r > < / T o u r s > < / V i s u a l i z a t i o n > 
</file>

<file path=customXml/item2.xml>��< ? x m l   v e r s i o n = " 1 . 0 "   e n c o d i n g = " u t f - 1 6 " ? > < T o u r   x m l n s : x s i = " h t t p : / / w w w . w 3 . o r g / 2 0 0 1 / X M L S c h e m a - i n s t a n c e "   x m l n s : x s d = " h t t p : / / w w w . w 3 . o r g / 2 0 0 1 / X M L S c h e m a "   N a m e = " T o u r   1 "   D e s c r i p t i o n = " H i e r   s t e h t   e i n e   B e s c h r e i b u n g   f � r   d i e   T o u r . "   x m l n s = " h t t p : / / m i c r o s o f t . d a t a . v i s u a l i z a t i o n . e n g i n e . t o u r s / 1 . 0 " > < S c e n e s > < S c e n e   C u s t o m M a p G u i d = " 0 0 0 0 0 0 0 0 - 0 0 0 0 - 0 0 0 0 - 0 0 0 0 - 0 0 0 0 0 0 0 0 0 0 0 0 "   C u s t o m M a p I d = " 0 0 0 0 0 0 0 0 - 0 0 0 0 - 0 0 0 0 - 0 0 0 0 - 0 0 0 0 0 0 0 0 0 0 0 0 "   S c e n e I d = " d 1 9 2 3 6 b f - 4 1 e 3 - 4 d 8 a - b e e d - 7 1 d f 6 d b 2 1 7 d a " > < T r a n s i t i o n > M o v e T o < / T r a n s i t i o n > < E f f e c t > S t a t i o n < / E f f e c t > < T h e m e > B i n g R o a d < / T h e m e > < T h e m e W i t h L a b e l > f a l s e < / T h e m e W i t h L a b e l > < F l a t M o d e E n a b l e d > f a l s e < / F l a t M o d e E n a b l e d > < D u r a t i o n > 1 0 0 0 0 0 0 0 0 < / D u r a t i o n > < T r a n s i t i o n D u r a t i o n > 3 0 0 0 0 0 0 0 < / T r a n s i t i o n D u r a t i o n > < S p e e d > 0 . 5 < / S p e e d > < F r a m e > < C a m e r a > < L a t i t u d e > 4 1 . 1 9 8 4 1 9 2 0 4 4 7 8 4 8 3 < / L a t i t u d e > < L o n g i t u d e > 1 1 . 5 1 4 9 1 6 3 9 6 8 4 5 1 9 3 < / L o n g i t u d e > < R o t a t i o n > 0 < / R o t a t i o n > < P i v o t A n g l e > - 0 . 0 3 3 4 8 7 4 8 6 5 1 0 7 8 8 2 2 1 < / P i v o t A n g l e > < D i s t a n c e > 0 . 4 7 1 8 5 9 1 9 9 9 9 9 9 9 9 9 2 < / D i s t a n c e > < / C a m e r a > < I m a g e > i V B O R w 0 K G g o A A A A N S U h E U g A A A N Q A A A B 1 C A Y A A A A 2 n s 9 T A A A A A X N S R 0 I A r s 4 c 6 Q A A A A R n Q U 1 B A A C x j w v 8 Y Q U A A A A J c E h Z c w A A A m I A A A J i A W y J d J c A A G 8 G S U R B V H h e 7 b 3 3 k 2 R X d i b 2 p f e m s r y v 6 m p v 0 d 3 w 3 g x 3 h u R w S a 6 4 G y E x F N I P i t D f o N / 0 d 0 j a i F U s x S E 5 S z e D m c H M w A w 8 G g 2 0 9 1 3 e V 2 V l p f d O 5 7 v v v c q X W V m m G 9 0 A m o u v k a j M l 5 k v 3 7 v 3 + H v O u Z b / 9 k W q j i c Y D m s d z 4 5 F k S g s 4 O b y e f 1 o A 1 2 + K k 5 3 l G H x a L d p s V i w P r e B n t E u 9 Z q w p O 2 o B y o A P 2 L R j q E m T + T c B j a y M / C 7 u 7 B y e x O L s S W c f u o E L L 4 0 5 m Y X M d Z 7 E o G A H 8 v L K y j H y / D 5 / e g a j e j f 1 B B f T i L c H 1 S / n y t t w u v U 3 i 8 i h c J 6 D a G e M J b v r W L g c B 8 q y M N W d 2 F t d g 1 9 4 / 3 q c / V a H R a r d n E 1 e f 7 5 5 5 / j p Z d e V K + b U J L P O B v X X Z f b s t j 1 F w + C o p y n b k G 2 k s b 0 z A x G j v t h t 7 i Q K a T Q 6 z 2 C e k n O 6 9 Q / a 0 K 6 t I 6 A s w f 1 n A U W b x 3 z c a A j P I 9 L H 8 3 h t d d e 1 j + l o V 6 T c 1 j 1 F / K c Y 1 8 v y / f k + u s Z K y x + H t w f a v J 5 a 5 v P 1 + U + L C 4 z i W t j a E a 9 L E c d c o 6 i T L l L P y i Q Y Q a H f G 7 T h o y M 6 4 k + G U w B r 5 G n s d j l O v m 8 L n M j Y 1 H b t M L 2 n / 6 3 / + P / V J 9 6 w q B o S x 5 V m X S / + 7 b M R x V d g X U M h m p w 2 b x I F r S Z O t J T R r p + F / l 8 F o n K H A K 2 f v g 8 P k V 4 9 Q I H W z 7 k 0 i Z C T a I x + D y / P K 1 V 5 a m c y u v s g A 1 O d P S G M T o 2 j O v X b 8 j g l 9 E d H M T K V B S 5 W B Y 3 7 9 / C 2 e f O o F a u w + V r p r b E a h L 5 R B 6 O S A 1 u W x g Z L M r Z g n J O B 9 w + D 1 b u r a F / o l c x c R F x O C 0 B e E M + x Y D l Y h k 2 h 0 2 d p 5 A p q n t d X V r H 8 O C Q X K B c q D y W 7 6 8 i 0 O W H n L A J i m B 1 Y t 0 L i v n 4 w Z x 8 i Q J I C M Z m k 7 t 2 u n D z z n V 4 / A 5 8 + t t b M p Y 5 D A w N y N i L o I I V y d K S M N K q f N + K + a k 1 X L j 6 I d b X 4 u j s i q A 7 5 E S x G E Z A 5 s X j 8 s N q N T h I Q G I 3 m J 3 X J w + L f v 1 k q l r K N B 9 7 g J + H f B 7 q 8 / r J 5 K G d v / G 6 L W R 8 + L v G t S i m 5 m v 9 4 0 G h g V 6 Z t 1 p a u x 7 1 n n 4 b 6 r l x z T J m T 7 y G I s 4 N 3 4 f T 5 o b P 0 a k I s E 6 J U Z I 7 l v 9 q l h q s d t M k C h P B b b p l S m J O g g x a 3 V q V I Z f R o b K i h A 3 J e Y S 4 6 h 5 d 8 r X M R y q V U g T 3 h w 8 / F i b 1 C h G t 4 y / / 4 s / h c I u 4 E y R X U g i J V k o m N p F c T a F v d F B p m Z J r X d j I r x i K m L 2 6 g L E z w + p 5 t S w X 4 q j I p T t Q y p R R r G U R 8 H e o 7 x k o 5 y r Y T M c Q D A b h 8 X j 0 o / t A V s b B t 1 2 K 7 4 b r 1 6 7 j 8 J H D y K V z u H X v J p 5 / 7 g X F 1 L 9 7 / / f 4 0 U 9 e x 4 f v f Y o X X 3 x e M c r v 3 / s d / v S P f w q v 1 6 u + u 7 m 5 q e Y j F A w J E + Z R r p Q R D o f U e w o G 7 T 8 w H u x L d R G e F o f 8 m N w 6 t a I S G P x x k a t K u 2 j T 1 R Z K 6 O r 0 E p X x 6 9 5 l / J S m e 1 I Y q l t M t 2 h W F w U t + N H h v P q 7 O h l F 1 3 A E d p c N t a S Y A C I V O f i W l A 1 1 i h k d 8 a U k c s E 5 G d K 6 a D q 7 m D J u Y U A X u j t E 4 p s h I 1 M Q Q n I F P I o w 9 k K 1 W s P H H 3 y M k c g Y f 1 U k n g U j p / u Q x Y q 8 a 4 E 9 2 Y V s O o / O o b C 8 0 p i 8 U q z I 9 T Z s s t x m H t 5 I g 0 n u f H F P m Z A D R 3 u R T x f g D X p g t W n f / f W v 3 8 H z z z + L S K T Z v D T D I p q 6 7 t 5 O B N a U A 7 W g U I A B G S M l i k 3 4 5 3 / + V 7 z 5 5 u s I u u R 6 R Q M s Z q 9 h o P w U L B 0 V f H z 5 H U z d W s J L f 3 Q a h 3 u f 0 7 + x H e V y B T c X P s G X H 9 z F y a f H 8 d z J N 5 U Q 2 s l E 0 6 C P N S n z o R i u B b z N N k x T i 8 s 1 d O z M I L W U z F K w w R 4 f T b r w 6 k G x C 3 e C f P R 7 x 1 B P D Z a U 3 6 M g V 1 Y R c 8 Z u 0 y 7 x 3 X v t p T E Z S m k l E 9 H H 5 1 L o G D V J w x a k F j O o d a T h d Y d h K 7 h h 8 8 h 3 d U V m S d l R 8 1 R R s 5 e w k r m F L s t B u P 0 U Z w I O W l 4 + K B N U S d V g 9 w u z u i r Y u B 9 H 1 3 g n F t a m M X t z B d 5 O D 9 b X 1 3 D + x W N i u t n h R Y / S O j m s q + e x B X E u L H U 5 r 1 t p s v 6 j f c I w e R Q z J X j l m C v o E k Z c R i 3 r Q s D X i Y 2 Z T Q R H H K j m H P A E 3 N q 1 C D K Z j J L + 3 d 3 0 C d t Q H 4 f O d F g U H q z 6 r R D R 2 R g c D g e C 3 r B 6 b R A Y x / P t t 3 + N P / v p n z a + L + e i 2 W O l F W C p o m o T U 9 T m h L U g z C j v 1 R 0 1 W G r C w D 5 l O z b h w o W L e P b Z p 9 U c 1 S o i y E T Y P C w + m n J h W J i 6 y 5 E Q 3 z W g H 3 0 w 1 D J y r 2 I h t w O N B D u 1 m u 5 3 N 6 F l P F v x v W K o s 0 N F B E m r I l H T x X W x z V c x G D g p 1 2 9 V E 5 k V 9 S v 0 h T 5 d k l 6 Y c 1 F j o 6 + 4 h r E j Y e T K c T i s X j h s 2 n H F Y D m Z b G + z 5 C W q t Z K Y K Q 7 l u z h s D u Q z e Q y M D M D e o X O V G V U 5 j 8 7 U Z i y l r 8 n 4 1 h G w 9 C P k 7 9 G P C o p W 5 K 1 J b O S n M X V n A Y l 4 B q c P P Q t X 0 S u O b g 1 D x 4 V 5 E B U 3 p Q c Z y y L s Y v x 5 I P 6 T o F U w E K V c G U 6 v M F O 5 h o 2 F D f Q e M P 2 W X N b G 6 g Y u 3 P w A 5 8 R / 6 w 8 c 1 t + Q t z J C F P 6 6 M r 1 q t Z q Y X B X 0 9 f a i L r 6 G V c x Z o p y s w C H n h p h E V f m M T U y 3 T D q D 3 / 7 2 P f z k z X 8 H n 0 l b L q a v o t N 6 E E k s y D i 7 R X P 1 I l l c E Z / V h 4 B T u 3 5 1 Q X k Z c 8 N M l j / F U h G Z b A a d n Z 3 a s Q d A q 5 Z I J B J K g F T k X v L 5 g l g F V T l v R G l p u 3 3 n 6 I s R J F F g b G G n j w q p 1 O R 9 c 3 D C j P f u u v D W k Z 2 1 1 P d O Q 4 1 0 3 s G Q p Q t 5 T w x + Z 5 c K M J h R F f u X w T e L V 2 Z K p 7 u E S H h G 0 J Y y N 4 Q g R U q q N y x w 1 8 I I B X q x n r u H i H s U b n t D m k V z U y h W M 3 B H R 9 B 1 o E M / 2 h 5 1 O q O B 7 a Y B C Y w o L 3 g x f v y Q Y q 5 s K Y Z C N Y 1 g f Q D R 6 l 3 0 + 0 + o 6 7 n 4 w W X 0 D n S j f 7 Q P 0 Z k Y B o / 3 K y 0 V H P Q o 4 m y H E s R H q 3 u x f G c d v U c D K l C x c H s Z w 8 c G 1 P t L d 5 Y x M D o g k l T G I B v F 8 r w w a V c J 4 9 1 P q f c N f P H 5 B R w 7 f l Q F F 7 6 + d A n L 0 R n 8 y c t / K a a l W w g 0 K V p G / B z R 1 L 9 5 / 7 f q H g L + A F 5 5 5 S X 9 2 z t j J X M b v b 4 j o r E 0 I U S m 5 d P a p g 0 l T 2 7 L v / v t 7 9 7 F q 3 K + v f w 9 z l O P t y E Q C C M C R / D 8 P / 9 v / 4 Q 3 X 3 o L o V A Q T r E O i F K p h I s X v 1 I m t 9 1 u w 4 m T J + Q e W g I g J o g s h b V N h L J W F M 3 p a h Z m x P V l B 9 a F B s g o t L Z f H y 2 q q F 4 7 f K 8 Y y i t S M l e 2 4 K 2 J A i x t N I K B W t I m E l b T O g w n k 3 8 M q U 6 G y g t B b + b n R A O I M 2 x J q u N E S C R q w N m n H E 1 R I b D I O Q q 1 J J Z v x X D g 2 E G R 0 t u Z Z j f w t x K b U a Q X K x g 5 M y g D X h O t d R 0 D O K O Z V a L Z 8 o k C v r r 0 N b p C n T j w z I A I C I 2 p S / m K X H s N J d 8 a L G U 3 / I 5 u d b w d S v k S n B 4 n 1 s R H 7 D 3 Y + N z q 5 D q 6 R j t R L V X 1 q G I d / / k / / x c M n f + P + P F T f h Q 2 y 0 h V 4 k J w Z Q w N D W p f 0 r E q z F c S P d n V 1 Y X o 2 g Z u 3 r 6 F 1 1 9 / d S u g Y H b G D V j q N P X a z 8 s / / O J n O H / i O c z M z I r m C m H 0 8 J C a k + 7 u b n z 0 4 c d 4 / o X n 4 B T z k H 6 l G Y w Q h p z a t V H I d X s n 1 P N W 1 I R Z f v G v v 8 S f / P S P c e / e f Q w P D 4 l l E G 7 S X m Q s m 8 2 O y 5 c v q + e n T n E 5 o y F E V U C C F o A I k H a o Z + W e f c 3 3 l 5 Z x m N m 0 4 / S A y d / c A W o p 4 f u m o Z Q / 1 G Y y t y F v Q S F V g b t X k 1 J m U E t Q + 0 Q c Y 0 q 1 G 5 p k K H A G l r g d d b G / w S i g k w x w D W 5 r W P y U D r i y Y b H / W 8 x D 8 e E Y / a t U i 2 I a t p G w G f l 9 v / 4 d G X O h u U Y o W D B 1 e Q a + g B 9 9 w g g b u R l 0 e c f V c W N d i W t K C z e W M H p 6 q K 2 5 R 9 B 0 m 5 9 a w O g Z L W i y c H 0 Z Q y f 7 m z 5 7 9 c P r C I 8 H h a D n 4 B J N l M 1 m M d o 5 h v n N O b z 1 1 h v 6 p 0 w Q Z q 9 a C 7 C p d Q P g g w 8 + w h t v v K q e K 3 B 9 h Z E x H Z a y + I o O u U 8 e k r e 2 T D E 5 l E n k U L Y W 0 d G h a X p j 7 Y e m 5 u X L V 3 H o 4 P O 4 P 3 k B Z 8 + c R q S r O Y B C j S i f 1 p / X s J a 9 h z 7 f U f X a A E 2 8 j e g G O s V P 9 O p a b m V l R Z m Q T o d T O 0 f L u J X L Z V y 7 d g P n z 5 9 V r 2 s J u V 4 y y y 4 R v U Y g q x k V O W Q O F B O a S 6 G / M K G 9 T v w O w c D D e / N u t a h W F Y l B c D 2 C N 6 t s X z l e 1 9 d J m p i J B C D O c V 0 I x e f s R M S j M R N N h m H b O T F L t M 8 q Z h J Y + H n B Y O C 0 a K k E n K W Q Y i Y y c 7 0 q P 8 I F U v l T L B a U 1 l n P T 6 r P t 6 J p U G W y z M y U 2 c y i 5 C 7 C 7 t R + 2 2 C m 5 b u r W 2 F w q / w l M + X i e S x e W 1 H M V a 4 U F a P x o d Z E x A + i Z q L J Q w y f E j O v Z T a z t Z z 4 R 3 1 4 5 u m n 8 Y J o g x / 9 6 E 3 R S k P b m C m e t a I Q k + s R R r B l R R v J P R I 1 O g 4 G e M w u R F o V A h N G U o f I T I T + s / H y h v J n E u k E r t 2 9 C r 9 X 0 w R K y u t r R z c T A + r 3 h 3 u 9 8 v d 1 V O t V / P M / / w L p d B p / 8 z c / Q z K Z R H w z r p i / U C j I 8 w Q K 0 Y b 5 O z c 3 J 7 7 c u 4 q h + r u H t p i J 6 O / v x 2 9 + 8 1 t 1 P e 2 E E P 0 p l 0 u 3 y + R y r G H 5 X x t m W m N 0 U 0 c 7 I a 6 G o h 2 X i D Y y o x K 3 4 r M Z 0 c D f N w 1 l R p e / h j N 9 Y q / K D f E i t w / b z i A h W g t 6 B k Q b W J J 8 T 4 i E A 8 N F 4 K A Q K x n V 0 D a C r Y g Y 1 6 q 4 g G o 4 2 g Z M 4 d i a a E y r M H m l V h a G y C B W n E e v 8 z h + 8 c u 3 8 T / 8 1 V 9 q H 9 o D M 1 / P Y / z 8 C I r 1 B F x i z h C Z e B a + s B e T X 8 3 g 0 D M H 1 D E z S N Q L C 4 v o E u n d 3 9 e n H 9 U g f r s Q l t x i x Q K n M M j t N Q e O 9 Z p M F w Z b M n L P Y v r G 4 3 E U 0 y X 0 R c Q / M 4 2 B G W I 9 o u D I K O I n U 4 R C I R E 4 R U X c B u q M g L p r i M l Y d v l q 4 q + I X + J s z B y Z 6 M q V q 3 j u u W e V W e Y Q D U O h R W G x l L 4 J p 8 u G t P g s o 8 N j 4 v M 5 1 W 9 s Q a 7 X W n W I F S D m s p j n j H A m 0 0 k M h E R z y 0 + 0 R u X + / u 9 / j t d e e g M O j 1 U F L n Z C R u b X L 0 L A C O K Y s S y C f M C s t e Q p h T R N X w s J U 4 b q 6 6 g D i Z x 2 j 9 9 r h i K G w 6 I 1 R L 8 O C T H 7 T e s k a r H O l G L T B B I K B Q / H Q e 6 5 F X W R 0 h b z A p 1 u / h F 1 Y Q x O T F u z U 1 5 a M h q T m p 3 l L c j 7 i 5 m r c F m 9 K N c L c J c G V R i 5 o 0 t j D m L + + i J G T r W s d + m I L c X R O b g 9 Q D J 7 Z Q F W s f u H T v U J w x b h 1 O P e Z A I S I i N c Z i l d i J b g 6 h J p K Y e q W b s o G 9 F 2 n u r W i j 7 B B W u V 6 e A T L V S k O V f H 2 / / 0 a 7 z w h r a u 1 S r 1 S f z v v P M 7 v P r c a 3 A G b C r A 0 E 4 z c M k h a q m h K 1 C D h e F 0 p u f Y a 8 o E u 3 3 7 L q L R K F 4 9 9 x r s I Z k D f t 1 0 i r K Y 1 W u 5 O 6 h W x L c t F H G k / w X 9 H U F Z 5 s j k 4 1 q r d t R s F U 3 L r S Y w d m R U H W 9 l i s m p K d y + d Q d / 9 m d / q l 7 X k / K + H u E 0 I 7 Z p Q 4 e z u i 2 U / t W C E 0 8 P l V D j e c V k N D I k a P K m Z f 5 n x b + K U i j p a E N u 3 y 8 s J G x Y F G 3 y x a p T r Q l l N l P C J 8 J Y J n 5 o A r W M E d A w 3 e g W d G a i D W y g Z m k w q k o f S d j b + 3 A y + Y q Z m B L T w k z 0 0 z a S c + p 5 u V 6 E 3 6 H l C q a j K R W y 3 Q K d r B 1 Q z p e R T x a U A F E q W b D G d R + P C x 0 D H T J Z 9 i 1 m I u h w k 0 g N w q 7 R 3 x N p 6 9 a Z i b D 5 5 H p F 4 5 i Z i a h 7 a 7 D Z H X J L F q S c c 7 i 9 b k d H p A N + X 0 A t G D M c b Y D X Q 7 N r f S M u J q x H B S 7 a M R P 9 y X q w A p 9 o q H w p j b p b E 4 Y E g x X j I 2 N 4 8 4 0 3 4 A r K 9 X F q e A r T M H O 5 g 3 6 u z W 5 D b 0 R M d o G l o l + 4 z k z W g m b G k Z k I a j C b q O H 5 h Q X E i 4 t b z E T B W C s A B y c m F D M b 5 j J M 4 f A 7 6 9 o k 8 n O d E Y 2 Z V M B K k O T 3 Z d 7 O d T L S I L 8 b a D A T w R D 8 h t y v m Z m I J y a X z + + q o d u f Q i j Q L Q Q t a l 8 I 0 0 q n u W h V 2 o q x 9 K X Y X R X C L V o z a m 2 E K U U W r k P R p O N n O V a 6 V r P S h 9 L n a l v U h 9 q K j N l G A z J S p J h N / q u R O f X P M O 3 J 6 f Q g W 4 4 h Y j k A e 8 2 H f / 6 X f 8 G r P 3 p 1 i / l o H l 2 / f w 3 5 5 S K K M m H B T i 2 i V q 2 X l I 9 H 0 0 5 F 9 L x C N P o l 0 R S p Z M t q W W D l 7 j r s H h s K 2 S J u 3 k j A V i 4 I 8 5 Y R C X Y q w k s J D 3 h 4 b f L d V D a G z d I s A s 6 d o 4 d M z 8 p X s n j 3 N 1 + I v 1 V F N l P A y M g w D g 4 c w u T c J C 5 c + B L J V A o F u W 6 7 w 4 U X n z 2 P g J e O q f y A f F d p c f M Y y f O q j E + x G k W 6 v K a E S p 2 5 i f L 9 V C K D / q E + j d G V B a F 9 z 1 Z x o m 5 r M C 8 R d P V p S x z i w 8 H G A d e O 5 y t p x C t z 8 N n F f O M x a i 0 5 T y g S Q j U n w i u Z Q z g U F l N X N K 9 o Z j I B w Q j n 7 3 / / v p h 9 H f A F v Z g X H z I k D E G T N C 5 M s 5 h x o F O e r 4 i g D I g W u h + 1 Y 0 A E j k X c u a 2 Q v f h / y s T T w a e X F l u k q u C J Y a i S T E I 8 1 4 V R k S Q q Q V G O q Z u l 8 y z M Q v M i E O 5 A t H w f v n I n N o q z I s / d y C f E / O k U I t A n Z Q s c G / M x M q U h x X m 8 D T M R i k H 5 n n z G I K Z 6 W p j b b U U 5 L a b K k g O R w Q j s T j u u X r y B 4 f E h I U Y 7 0 q k 0 7 t 6 9 p 3 5 n e n 0 a M 4 t T Q v D 9 6 H c 6 Y H U J Y / K f 1 a L y 9 B w e 0 Z A m D e A N u 5 X J Z R f z r F Q u 4 u f / + I 8 o 1 z Y x N T + t I l + O v B P + P g / 0 F E I F l 9 M L n 6 0 T h V o a j p Z V S o a g r W U x X U X I Z 0 S T 3 L s 3 i Y M H D m B 0 Z F z 5 L V y L 6 e r q x O H D h z A 4 M I B I R w e 8 N q / 4 Q h p B x d e S 8 I R d 2 0 x u B j y 8 M j e x w g y 6 v Y d g t Y r G E i m e K a V Q L Z D w t d x F C 9 e H 9 P A 7 m c l a F A E p Z q E B j j F z K j P 1 K O K F B f i d 2 o I w 7 y N e W F Q L y k q z 8 R z 6 M H k C z C g J 4 M K X X 2 J 0 d F T z c 0 Q o 0 u J w u V w 4 c u Q Q 8 j k x w 6 0 y T i L H e K 0 e U T 5 X o k 5 s y P P p G E 0 3 m / r r E 4 H a v S 3 a Z 1 W B M q Y f 5 W Q O r 4 q f 1 y s u S F Y E u h n f e x / K D J d I o x P 9 I p G 9 Y k q I e W M x y i v E R E O 4 o s L S X F Q l c T K U G n I N t J X Q 7 f L b N u Y 2 V c m F k W N m h N r t d R f 6 g q Y w r j l M 3 g o 5 v L q + i m v X r + P M m d P K r L S m b I h j D Y G Q F x 5 n W J x u h 3 w 9 r E z H o v g J / / j J M n J z X 8 L t q i o 7 n 9 E p R q 9 6 e n r k H K f g 9 X l V J O z y 5 W t 4 V j S E T X w H T 8 i t F j G F N f D 2 b / 8 V L z 3 7 O v r 7 m w M S h C V t Q 9 X H j B B D U s i x r B C 5 v j R A I V S 2 i 9 + y t q Z 8 o t 1 y A g 0 w / F x x l O H 0 m c K Z O m 6 u O n C i z x T 0 I O S n p m a n h c h H t m c y V I Q b R C A q G D 4 S g z / 6 v H I O L H B g M H B c v W 6 F p S T 3 I n 7 P F u R r 0 b W Y a C H N L K 0 l Z C 7 D N W X u U U D R 3 5 I n C A W D o l 2 B D x Y 8 i i 8 N W I V B 3 z h U N H h U w Q i Z R z d s u C V 0 x t e H e s q Y 3 b A r I d + K J 4 q h v C I R X x y T k d D B E L k 1 L 8 y x j c B F j a e v Y R h n t U h e C 5 Z u r W L w c H 9 j M k V S L 9 9 b w 8 B x L X 0 m V 4 l j M z + v n t u s D v T V T 6 B Y z 8 M p v o x V J h H M 0 j A g R K v K P + T a 6 C 9 8 c e F z h I c s G O + S 3 7 a X V G i a a U O c u V p e J k 0 c Y q Y f k e U t Y u Y x S i c y A K F + v 2 K k p 5 4 6 o y J S b r d b l Y g w p H z w 0 E F 0 d 4 l P J o K g N Z J F Y l E Z A S Z C 3 A Y S L k 1 Y j o W Z B m i 2 O a q 4 c + c u j h 1 r X v v Z B p 5 a z j O X t G K 0 S 8 7 T E i S g r 9 c b M I 2 L D m b k L y + t 4 t g R O T 9 / v i 6 S 3 m m K v F Z l / J S W c q L m 0 m L R F t G e J W t F h G M U y e K y s N T Z t u d W e Y N W 0 / G i n E s Y 7 M 6 9 u z h 6 5 I g S j o u b s / j 6 6 8 t q b S 6 e i C u T t t 7 x F F 4 9 6 c e 7 9 9 p n q B z s W R Y m 7 s Q n 0 5 p m 5 y / Y h d l e H Z H r E 2 v o + o o D H r n 3 T R n T N N 0 J E 5 p f f c 9 B V W u G l d J 2 B 2 0 x F B A N o T M T z Q R m N R D R m Q 0 M H h d p T l O R 5 h s h g t N g J s J j a 0 T l u j 0 T y t F 1 + 9 x C r z J c w k y M E m 4 F R f g b u u l D 4 n F G i k o b O S o u + H L i V 4 X E f F N R R C a E 2 l B J 2 F D c L C l m I g O + + 9 s P l K l C 6 f 3 c c 8 + I p n A r 6 Z p c z u D M i T N 4 8 f k X 0 O P p V R K W z F Q T O 2 0 9 N y m + 2 q a K + F W E 0 R V 2 Y i a C g k P M E 1 U M Z 4 a Y N v l c H h s b M f 3 A H h B i 6 p N b K V S T q N l E E 1 G Y 6 F g z P T e D w Y 3 + v l 7 h R x k 3 I U I z M 1 n L I m j I E P T J 7 I 1 5 r L N 8 p W y D U 1 9 I J z P R 3 G q F Y i Z z k E e 0 P A V G K p l Q Y 0 u T k F F F Z s z / 5 I / / H f 7 9 v / + p C t e / I s x 0 f 2 G H 3 C H B 5 P o A P p x y i W 8 r 1 y 8 P n m q 8 s 6 J M X F r i p 8 S 6 O N R d x b O j L d p Y 8 E Q x F B G n p N V R 3 y U 9 i f l 3 x H r 2 n g o U L G W u K 8 3 T P d 6 o 1 N 3 S U C 0 w / B c b S z s M / 4 N M w c C G w E J z 0 T R y 1 B I b G x t Y W F z E R O A c e n 1 n E N / Y R M 2 r E U / V W x I f o i Z K o g i b E L a n 0 6 0 m n A v I f l c A K + l F p Y l 6 u n t U j R P R M S R / e X 3 y O y X 5 H q N s L O x b X Y n i 0 w 8 v I l V a w 2 r 2 D j Y L 8 8 g J c 9 E 8 q n H 2 d w E J o p g o i 7 m j X T y v Y W Z 2 V h H d T q A U p z 9 i a D a P + F d u W 0 j Y Q + 6 N w k T / y Z N i i r f D r V u 3 t b U k + c m t i J 2 A 1 5 2 B / K 4 Q v a q Y b r l 0 p z j I L p t f J U c T p n K w L V h r I q x E m 2 1 B P w f 9 M S W A 5 B I P H z 4 s J u 2 6 0 u K M i t o L 4 v v J Z w 4 O a d p w P z j a U 8 J I R 4 P h L X q w g 7 7 z q Q F h f v 3 a f n S k + O Q x 1 N e L L i F g / Q V 9 A R O D a R B j S v w W Y 5 2 J E T Q D m X m T q S F o k t g t E + q x B 4 W Z G i Z B v T G e 2 8 B F T o f d g Z 7 Q U Y T 9 E V i K N d g 6 i 8 K R d Z R F i z D p 0 2 a 1 w + u W 6 6 J p J u C E s / D x J z / 9 I / T 0 d u O r r y 4 p k 4 R J n k z Z y W f z S I j N / 8 u 3 f 4 1 k K o l c L o d M J o v N y i T O n j 0 L n 7 1 D z m F D p 2 c c X k d E h Z u t Y g I Z v l 8 T T L a + K + R Q A o H M 9 M n H n + H a t e v 4 8 Y / / S H 9 X Q 7 a 8 g U n x E T 6 e c u K t c f E p T M G O q h 6 R o 6 D J l D b U c 2 K j z R I F f R a u J x l U V t e 1 U F Q 0 L C s D D A 1 U D w q T 8 z 3 R c p a s / F j K g a p L M + 1 V w e c O q H G B 1 1 n G l U V N 2 x g M q y q y C T l c k / v c F B / U g J H 7 d 3 E X D W V G f 7 C C I f H D 2 o F R x G 4 R L W 8 c L u L 8 i N x D R Y T D k + R D m c H S 9 u F w g 0 E 4 E U w 2 B Y v W h H 7 I A M b a y 1 r u L q q 1 M g b 8 m r T b A u / c x F O 1 r B C 5 O T n S / D 4 1 X k A f W D K x m H 6 p 0 i p W N m Z x + b N J / M e 3 / h q 2 D u 3 D h g 8 W K p 9 D I C K m l t C U n j I H i M m H s E Z Y 6 7 n 7 6 P E e E q Y X c 0 L M S Z q M 1 F Q + n w + f f v Y p S s U S n n 3 t O A Y j R 7 a q b U m M h Z h L m Y W t 5 R A V 8 b n t 7 U r A u L Q g v g X P T S Q W 0 r g 2 e w 1 d 8 v 2 j R w + r U g h z Q G J N n P k e + S 0 z I x l g I K P u 5 r h b h K F i 8 D l F g G T F W f d U l f N u B v P t m B z b G o y w F c W c c m 0 v g c g U 2 M 6 g M f 5 G 9 K 8 1 r N 4 O X D c K 6 U s G X P D 2 + / 2 q z o s C 4 + j R I y p 6 S Z D x G V i 4 s b o / h j o z W N q 1 S t c A F 3 r f X 3 E + u T 0 l E n k b x i M m j U P z i K a Y b q 6 p J Q O d I b g e U l p z w B t q k 9 z K K m A x h c h M y k w Q s 6 5 W F C 1 H a U N d b h A J T T 6 m p + h 1 N V y X W E n e w 9 J C F M + 9 + B S C 9 T 5 t I V M s n 2 R l W W k Q h 6 e i S j P M + X 3 m 8 v v N / K L 4 h X H F m F 5 7 N 9 7 7 5 F e w B w r i 7 6 d w 6 s R J F S j o 8 G l p P Q x 1 i 8 5 C R r S H l f m B V T 8 + + u h T 1 U C F Y E 5 g 2 S I m p U g R i 0 h 4 m j j V k m h K u Y F k X j T d L 3 + D 8 f F R x T z u o A u n D 5 9 G p 7 8 T h U o B N 7 + 6 g 6 7 + i E Z 0 c n l + + d N 0 z S Z o 5 e T a c 6 f N K 8 M r Y y V j p h c R K y j / R X D h y 4 v o 7 e 6 F y 9 1 M v H X T 2 t I W 5 J C z h Y F V K F 1 8 Q 0 t F T m 7 2 E R l k k U P U x l y z I t Y 2 n e h g a p g c Z 0 U w g z 1 c / 5 q a n s W h g x N I i 5 B w y d h / P u f C O i O 1 + w R 9 Q 4 b S X U J f U 6 K 1 + 5 m i R s g f L q K r t T i 5 7 v f k v M Q T q a E 4 e Y w a G 6 X v S M g d h Q 0 b v n m m m I / H S V f + j x C D C r f L c 2 o N l T A p U M 1 J h I D a 5 X K R w J h 2 o l w p B h 8 Y G J G / n M x k I o 1 q y o N L 9 6 t y K I / 4 5 h r + / D 8 d R a d 7 F B 5 H S A U O f G K O E Q k x 5 + j 8 H 5 w 4 q C 6 R 2 e a / f P t X m D j d i b H + o y j l W F 9 0 S 5 U f u L 1 O J d U H / a f U d 6 0 5 G 9 Y t k + g S 8 6 5 c K z T V T 5 F 4 m a o T X 0 q h 5 M r g d + / 9 H u f O n B M N r a 1 t R T o j c k 4 r e n t 7 1 L k V q L 0 z d s S q 6 + I / b c h 7 v b h / d R q 9 Y z 0 Y G W 0 u 8 2 i F p q E a G o N B B x J w M V o R n 1 G Y O p n H 3 e m 7 K F X K O C i E 3 N f Z r 2 m 0 5 m l R 4 2 o + N j + T x s i 4 l m D b F p w 3 0 e J m b c X U K Z v O 3 Y w S z m d r G N K F 7 K e f f Y 6 T x 0 7 g x r o T L x 5 2 q 6 5 F t m p W e N G D L x f a C N Z 9 4 n B X G S N i d Z i v n x X E J V 2 2 P 5 E a i g K Q Z f J G 5 a 7 S T F t o n j m O N y U d S 6 5 Z F K Y W h e U Y V 8 E N G A v g R t G Y y t s y h C p P J + + r 1 + J z 1 U V S U Q l m x Q d I x 6 q 4 O + / G T 1 + Z w D N P H U E 2 u Y 5 T Y 8 + q j A m G 9 P P x P F x V H y 5 e u I C a J 6 O Y p q e n W 0 m 1 a k 3 r J X H v x g J u 3 r w j 5 o k 4 y y U P g j 1 W 9 P k P I u w a R E m k g d 3 q R E 3 8 C z J m u S r M Z H P L X M o 1 6 P d J r W r P u 5 D y L O D 2 l R m c f W U U o S 4 P x g e O o S / S r / w M m l 1 q L a o u 3 x L C r I g E u X z 7 s s r m P n d O / L F a A A O H e 5 E v 5 D A 1 N a 0 a q W x b M z J g q W M m Y V f a g L 4 j g w 4 f f v g J L K E g 7 s o 5 e 4 a 6 4 A 1 6 U Q 5 P Y G L I r x j Q 6 C p F 5 D I F 5 E s Z b L K U v 2 y H V Y R T Q c z g z n 6 Z F E Z d 9 c C P A c M v s l b E / F P R P / l L D c d j h k 0 v 4 J g E h S Y 2 U 3 Z 4 5 P e 8 L i / S 2 R T c L g c 6 A k 5 M i c C 5 M 3 s d i d Q d B F w R 5 O u N F K 4 H Q V z u R 1 l G b Z i J e G J N v h f F W V Z I y s S 3 M B S b b / D Y W u Y u 3 I V O x L j Y F / a J 7 V x Q 0 S W a a z R X D J T T J d h c N i x n b q g U I m Y K c F H Q y O e z p v X f k P m z i L n A 8 K + / 3 o P Z 2 0 t 4 9 v w B h I N h o d U 6 v v j 6 U x z p P w G 7 V 7 4 r l 2 D 3 U L N Z k Y i n M N F 7 D N l S W s w v K z z C n B 9 + 8 h E O H j m B p 0 6 f w P F j x x E 0 C u H c O c W s o n d Q q e Z R L h f h c m g Z m + n y u i q r 9 z q C W 5 K Z q D v Z m i y g m X l 5 J w a 6 x + C w s 5 g P 8 l t e W I X I 1 J o R B Y c 8 G J H k W t f x 4 8 f V d 8 g k v D f 6 H f S r f v f 7 3 2 N i Y k J 7 r w X r 4 o O E 7 U n 8 7 n f v C k P O 4 7 X X X s W J 4 y f Q 1 x 3 G 2 N g o 7 t + f F H + s A w f 6 A o r Z l f Q z 8 W a U v T G E Y c N B Y S Y R b m Q Q m 1 + n S D M z 8 a k S Z v K E p + F a V d U h w q V 9 N F G V 7 4 i w I z P R R 6 r Y f f K z Z V z 5 6 k v k a x 7 U b L d E + w Y R C v t F m F S F 6 X d O y d o N v J 3 x S F m 7 N w H T l M x 4 o n 2 o f q 6 t y G i z 4 S C h + u p R C 3 n q W M p c E z N X z B G 3 F b n V q k j + g D D M T R n s k s q m o O n k d Y Q R T U 4 r o n c V A i r q V y v W 4 C y K 9 B I J X M l W V K K m h Y u Y w l B 1 s d 0 t c l z 5 W j K O Q + O D a t 2 I R F p O V T B 6 Y A j z a 0 s I h g I q W u f 1 + F Q O 2 V P n T 4 s J 6 E U 1 u I n r C 3 7 0 i q k y e K A f b n F W 1 r I 3 F a M I q 8 P l p + Y q C 3 M E E f G w Z D 8 k z N S Q p F x L 6 5 T j Z C a u R z X l l g l H M F I 4 c W A c f p 8 W e i d R W v N 2 1 A L y W R N v c N F 4 c n I K f X 3 6 2 l t D 0 K u O S t R o / / A P / 6 g K B o 2 2 X z Q t 2 c H o V / / 6 j y p 8 / + q r r 2 w t B i v S k v 9 x X P r 6 + l T + 3 4 3 r N 1 R V r e p l Z y x G 5 6 w I 9 H t h c z Q u x l p z Y C F 3 a c s X 2 g L X / M j o O m K 5 W c R K M + L f 9 W w R c x M o 7 K j N 5 G v 2 i h P F q j C u P 6 A C E l 1 h D w Y 6 J z C 5 4 Y L f l Y T H L 9 q 4 v I t 5 u Q c i 3 h q S G 8 u 4 t d m J I v 0 5 E 5 5 g D V X A 5 Q U X B h i V E 5 N O R e i Y L S x s t J y + I Z / Q J o O m k 9 f v Q 6 w 8 p Y j Q g K s a h D P v Q 8 K 2 A J f V h 7 R l F V l E k b f G E Q z 2 K E K 0 k i 4 5 9 8 J M l a Q 4 3 g 2 l p n K 5 w r W U y m 8 j Y Z M p 3 / n 1 u 4 q w 2 E z l x M l j a u I H h r r R E e 5 E 2 Z b D 4 u U s J o 6 m s b 6 e l N 8 K i 5 S u I O D s E g a x I + j s V 0 T F j O u Q / K 3 W 5 I d p W Z i I n e a e A U v G g Y p V T C A 6 l F Q + 1 K L i J D v E x P H Z Z S A o 7 a l N m W m u z z l z 2 7 L J H K b n p j E z E 8 e R I y N Y u b O m N c g 0 g W l I z N h g o O O d d 3 4 r n 5 1 R a z n X r 9 / C n 7 z 6 J 7 i 3 n s B I f 0 R F 0 Q g L m 7 K Y t A v 7 O T C 6 x l x A + l e G i c b P K B N Q F 4 A E u y c F L f 1 I F l f h d j a u w 6 Z M u 4 a / 5 K t 3 I V v f Q I d 1 S F V Q m 0 H f S t O y 8 p B 7 5 f e W 0 l l 0 + v z K j 3 W L h q c m C X h E e M p 3 a 2 L 6 p g u m 9 c g H x I p o / P V i e B s z E U 8 k Q 7 E A d k z s 2 H t R B 8 b F b q Z f o 6 2 / 0 r O w o F B J o d 8 v Z p Q Q J t d / b H a r S K Y u t R g a q o 6 I y d I n U i q A l Q o Z D + j 0 j q J U z Y n W 0 o I c / J 5 a L 9 K J Z G 0 m i m C v X 4 v w 6 b 5 V S O Y w h l u i X e Q 9 + X y h q D e C P P M 8 h g Y G Y Z O L t N e F u M W U K 9 R F + w h 3 d v o 7 R D r b U X C u Y 6 J v W J m d D J l 7 H X J c q V b 5 S a t H p U 3 N b X a j R 4 j E 6 t 4 + a U p W 0 B c s i / Y U b s m J v 3 Y j b s P B C T + + / G J S t I p T z i m a z V d T o X K a b n y Q 0 N 5 + 5 1 d 4 + u l z O H X 0 k J L q / k 4 / K s K I R r z C D C a V U s I f O n Q Q I y M j K s H U X h V D y u n E Z n R R + Y O E k Q l i x u r q q t J w K u 3 K D M 4 V y + m F + A v V D O K l R f j c H W L Z c Z 4 a F 1 G x F M V H k v M a E K Z k X i a Z y V q x b 6 U c K a u B A 2 e K A l q E G Y s y l 3 6 X e 2 u t i 9 n k X 8 0 P Y y M z 9 I 2 Y a Q v t t K T A d M V P D l 4 e 1 w h / k O s 5 Q k y s f T G j x y f E Y g L D 3 y x 8 G 7 Q 9 p T L S H T 6 3 6 s F t g H 0 M 8 p X k V v S M D m 7 d U 8 X y z T U s p K 4 i E O q U k w g B U x s y V C r / Y r U r Y r q d w J B F 6 1 n A y O H x p w e x U Z v E U u m q i g I a l a p u S 0 S Z T N a w u H y 1 R X h j I + q 6 m Z v n K P q R y c d A 3 8 y 4 i / t r 5 3 E 6 Y k f G v a Y f 4 T X p U l 5 g E e 2 p 1 q W E q S 6 v O P D Z r E t M I h s + m v Y g 3 X k Q l 6 5 f R i a X U R n q L D n / 5 d t v i 1 Z c R 7 F Q U m a b U 7 S g I S x I F y q j i y / V k 5 3 B x F p L s I 5 j Y x 2 4 8 P V t / a h 8 V U + 2 N e O V V 1 5 W 6 2 o / + 9 u / V w u 8 R j 1 S r i z P G Q 4 X J A t L i L i 1 j r l s / 2 a G E o Q V r R 1 c K 2 p 2 M c X L I o A Y + R M G Z X f g J s j 7 P Y H m B T m e Z / e 7 e z R 4 I j X U R J d m u t G W 5 V q D I y B m F 3 s f U O U b k S J O h I w g r b y N m R i 8 / W 4 V 3 S P I E B t 5 b f 2 G c C c H 0 d s 1 K u b B h v p a k D 3 m i j L h / i l 0 e A Z E 0 M v k C P E q C C 2 z s Q v R E R x Q J s x S 6 Y p K / / F 4 X b j 2 1 X 2 c O v C i S E S W Z c u E 0 x T j W c U / o 9 / l E r s 0 5 1 l U 7 5 W y R b h D b m X 2 2 D 0 O L Q W n U s e g y y K a w N J o r p k S 7 V I V P 6 g g n x F z h S W W 9 5 N 2 X F 9 x i i / Q I B M r / a q l 9 9 D Z 3 S k a 2 I 3 M W g 7 n n j 2 D 4 G A N 6 V g F m U w a Y W c n w r 2 B L X O N c M p 1 y c 8 q T V e K F u A M 8 J q 3 w 4 j Y U S u O D v X h / / p / / l 8 E I s O o O k L I F a 3 w U b g J g Z N J + R m m U Z 0 4 c R z F X A l T c 1 P o E d + M i + y q / E K Q K C 7 B K Y x E U 1 a Z e K Z 8 P k K 1 x p Z z 2 U r b a 6 b U a / 3 W 7 W Q 8 8 / v 6 7 + f L Q g p y y e q Q H O N 6 0 u P G E 8 l Q A + F N F C w x O B E Q a e 1 Q v R y 2 H G t d 8 h q D T a v B 7 x E H 1 D g u o I l A 8 4 + g a c j 1 G d Y v u e 1 B 8 b n 6 9 a 4 9 m u n n Z K G i v q h L R J M z y N 5 1 o L t j F E 4 W I A m B s V 1 Z N L O E T D q H 6 H w B Z 0 6 f k U 9 q F 0 D N x G i h S s S V v / y X E T O R R B Q S 3 2 G j O i W m T A 9 i h T k x 0 0 L K g b f J o 6 4 T r o L 8 d q 6 S E L / P K 9 q g h o 9 n u K 6 y 3 b i o y 8 3 + 6 N k x D P T 1 q t 1 A r i Q 6 M Z v 0 4 l R v S K 1 D M b N i I N I P u 8 + m t N f s 7 B z s Y g 6 7 x D S a n p r G + s o i 3 v 3 4 X b g c H i z c X 5 b 7 8 i E v p v D y 3 I p Y A T b k 6 h n k C j n N f K z X c P j Q h A g V J y J B I V 6 5 D 7 + P p f P 6 x Q h q a Q o R K / K l L L w e L 1 L 1 O W X m c g k g W 4 i h I D 5 o J 5 v p q A / L o y U 3 k 7 0 w 1 I I x D 3 O B N 6 W N d x N E w N T 1 6 t 0 t 8 P N y H a x z 8 g g P M V h J D c V 2 Y I 8 b 2 2 f l e w 6 P D N 5 c z I v o 3 Z x 6 b d u l N 7 W B X C 0 u G i S h v 9 L A N C S u Y z B i l o 1 q J q R a 8 2 F U S h F w E o V y R h 1 X k 5 2 2 K d + m a E 1 h 4 t R B 1 L 0 M b 8 d U s 8 d M P g 9 H o g / d p W N 4 6 7 U 3 V D R r Z W k B x V R e M R P N t Z R n G f H C s v q N P t t J l f H A V K b u 2 i E h Q i u 6 h L A Y / q Y v R 4 r I Z B p 5 c o T P I 2 a j f J 5 4 d W J 7 2 o 4 B t g s w e p + X a R L J 3 4 v L f r U Q T l T 0 7 k b 0 r R g 6 / + K L L 1 X u Y D g s 2 u T k M f w v / + v / j P E D I z h 8 Z g K 1 Q E m u X L Q n 1 8 j 8 F R E C o i H l h P / l / / s n Z c L x w a A D e 8 P 3 V Y + q L P x i t o R q U o h c t I M q G 2 c A Q s y 3 i z c + Q b 4 o v + n W O j / l S 2 F k R P M a Y G q U V T S w G a x P U t C D G s z 5 I y x s 5 s B S D d 4 d f a i M / j 2 D F O Q w 2 y k H Z e z t D J h w H D g Q j x p t T v q N G O q x X O Q e O D G y I R r n t k x w U b V q V u s P x k D u A F f N h 3 R u U 3 + l g c x k 5 P Z V q u a 1 D W E A E W f x / B x S Z T b 5 l 0 k N V r F u u 6 M 9 F 5 B J a K 6 w L I T J t z Z v G R 9 + 8 S E 8 / T Z 0 C J E y z 6 9 v Y A h O i 2 g 3 R d R W Z U a G b Y P I l u K w i / 0 / 6 N W 6 u 6 r y E 3 0 T B H 6 S E n w j t y i m o R Z G Z n Y 9 p S u X B E g o h F M k e V P a l Q n G u s g 1 8 a 3 4 P Z 9 I 9 G M 9 J X w w K f 6 h X I t V j x a z 2 x C z H P 7 o j 3 6 k X l N 7 U V P X 5 H 6 c b v F f h G g j g Q g i H Z 0 Y P T A g m r s T w S 6 / + t x f / c W P 1 b K A z + f F 3 b v 3 5 b p k z G S M m J D M k D j v I 1 H S x u r r e a c q 6 H v 5 / I / w 0 e / n 8 c G F d 3 B v 7 Q L + 6 R d v I 2 I b w K U L t 9 T 6 E k 3 Z m k P u i W l G O u w y L B Y 2 k D E Y S 0 c 9 I P P F U g 3 6 o Y 6 a j K E 2 f / w c / b Y 7 i 1 k x 9 8 Q E Z a C E a 1 z m t K X H j I c y + U 7 3 l 3 B q o I Q D n R W 1 Y s 4 w 4 r e F 4 z 0 W B B y 9 4 p O v i j T P w u / u F L N O J j E j 1 9 A S a T K w V L o u 9 n g Z / p y W F 0 d f x g x K U 5 d f 7 H S O v Q e q 8 w 4 X f z t c Q 6 j X x L 6 X i X X Z A 6 q B J q F 8 A N E q b K Z J s H F K / w E / J i c n M d A z o k y i e H F e J r R D q K J x T b a i H c 6 a m G 0 B I T 6 z K J P r V r 9 N a S r P P f a Q 0 I l 8 Q L 7 r E V O V g k t 9 3 v Q d d t m d Z 6 V y G + R L l q 3 6 p M P d F V x d Z t S v j m F h w k q 6 B i 5 c z 8 a u w G 0 J q y R b P g z z k r u R U N g 4 A v J 9 E j Q P 8 0 E f U I 9 w 8 v N c + K X g c T g d j U V p Q a U k m q Z u g 8 c p z C v M 0 S 9 M x t 4 f j B i e O X E M o w M T + P h y G i + d 7 8 K F D 6 / i 2 Z f O K A Z W v 6 H u s S 7 f k 7 l Q h U h W z G e B k L G O Z Y K l Z h O B u o J 4 a V 7 m i F H F F D 7 8 6 D O M j g w i H V / F j S s X E d t M o F Q s b D X g / D Z M v n 3 n 8 r F a l g V + r L d / Y a z Z 5 L j y 5 Q o 2 w t t 7 x j 1 q c H L f O p T H 1 J 1 J u A Y 1 k 8 9 b F y k a Z F s u j S B a w b U n L u i S S A 1 7 n c m v X K U n a G K x q r Z c y y H j X E O p l p H v a C F a l t D H 8 1 Y t 6 V I H G Y 1 m h l U k 8 W r 2 l p h Q Z R X q z h V T + O y 3 9 / A n f / w T d I T 1 z G 3 + h P m y q E 1 N v l w r S B h k H E Y k 2 e + v 7 m m v h W b E u Z 7 a p 4 N 9 b r C E S 0 t O d R n j 3 V d x o O M I w P M H K 5 i f X 5 D H P F 5 + e e 8 + 5 m r X D d 3 k N D A z P Y P e v j 5 h s E Z u 3 N K d V Q w e N S 3 S t o 6 B C Z v R O O 7 c v 4 c X X 2 z Z D q d s E 6 1 l Q 8 1 Z V l q H h Z 1 c t O V r B d F m a t 1 J c P v u H e Q y O R w 5 c l h l e h g g s 7 N / I M t e P v n 0 c 3 j c b u T D T 8 M X b l l A f h S g K a B j X w z 1 0 o G C E G T j Y 4 n 1 N A J d b l T E 9 U i s J t A 7 0 Z L G I R + d u r y A s b P D + O D + w y c i t u K s E E e n r y q E f F c I u a j M o x 7 H I Z 1 I 9 V l j 8 Z w 5 F U n e y l S i T b 3 D j Z 5 7 q f S G + G J p 9 D 8 V R i o b F W t D 8 6 X U e b 1 a 6 F 3 V V h k 5 g 2 1 g l G A s L E 6 L p O 5 S T e w N W E V r 1 o y 0 G h 3 r 2 f u I u M a 3 5 8 q J O b b N N K G Z 5 6 9 B p T u Z K p P J T G S q B w U F w / n h k h I I h u a 8 f f u 2 y m j w + 5 s z B 8 z l L 4 R K E G 5 J H F 5 Y W F B + m N f b y O b Y X E o i M t g c s r b I 7 z H 6 1 w o m I / / y g 7 c R S 2 T x 5 3 / 6 I 3 S y o 5 X R o d a E l M w X / a F W s E y D v T X Y U G Y / u L 7 k x p p W w f J o Y W I o k x H R H v R v z c z E a F W 4 J 4 B q Q Q j P a 9 / O T I T M 1 8 S 5 Y e Q 2 M j h a n c Z J 6 5 I c 2 j 4 g D w o y U 2 o t j T 7 f E V X i 3 u N q Y S a C z C R M x V 5 r C m J G m Z n J n K O X w h J c h 7 m x w P w W M 3 W U D + i B A Q 3 t m I n E Z Y D M R K Z K V B d R r K T 0 o x p U c 0 m 5 F k p L g u U U H d V j K t P d D I b K u c C 7 D f q G Z D W W j m u X p z A h p v b D g B 1 S P 5 l x q X 2 d 1 D q W Y H x 8 H O + + + w f 1 v A k t a 1 K t z E Q w S 5 0 + l G p + o k M x k y n Y Q O w 0 8 5 v Z G H p 7 u v E X P / 4 J 7 o n V Q W a q 1 b a P t 0 9 8 q x g D H s W i W k c j 2 D X 2 w 0 + + Q l f H P h d p R a v 5 V R 3 X 4 8 X e P p S M x q A Q F R 1 E S m u j 4 w / 3 f F 2 f j M G / 1 V u O p c B W c f A L W g j Y 3 g G b 0 4 5 Q j x 8 B + c x Q O I 1 B Z x 5 Z I a Y i 0 / C F l 0 X u q t Z X 3 F R t L 3 j E 5 P R n N h A e M E s / + Z 7 6 a s v 3 R Q D Q T 8 q v l u A w 7 f f E W h 4 W E D J r e y V 7 U 3 7 f q a J Y 5 u B K 1 Z H H g P + E / k r O n J M T M b H U B O V L k E r 0 7 8 U L w p g u h z j d l 8 R M S 6 I z 2 I t o c h l + r 1 y r X E s F Y k 5 u e P H p q g t z o n X m 0 k 6 1 J j I m 7 z G y x 6 6 w 9 L v Y K y J T W l f b + B h g p N D u s 2 t r a D Q Z u R Y k Y / E w a y p M u R k M V c W 0 F I e d Z p O Y v d S U T G h l Y q t Z a / L 3 q n G 5 L j E w q u x 0 V N D y I s 1 g h C / o D y I r Z h U T b s N h v R e H b k 5 v Q b 7 G X S T N x 2 l C X r 9 9 X f V i Z 4 P P a C K B q 9 d v q 3 Z r X 3 z 5 F W 7 f E S G V z C G 6 v o K V 1 S g + + u Q C v C 6 b Y q T f v v s x v K F e P H f 2 m A q C c C 4 s Y i L y Y U Q E m y D 3 + u 5 9 l z L f H z f 2 Z f K 9 I X 6 L j Y t 2 e T G V A s 0 X P H 9 9 C S O n B p X f o f k q Y e Q r c f R a j 8 L h c 6 p Q s 0 Z 5 2 s 9 Q s z C 0 u n J / X S 0 + d o 1 F 1 M 5 9 X 2 9 0 w C G D 4 7 Q W k C h s N x P f E n P P 0 r o i z 1 M q o t Y p u x V 6 l e 3 m Y k I V F 7 o D W h G Y u U y 8 J E T e O R I Q r V S E x x F U x Y i G e W P e p I v r L l w L Y p o Q g y F O i 1 / 5 O 2 q d S T i S y b h 8 n k x k c O v S L P r 6 u / H s 6 V f h E t s 9 u 2 n F 5 x u 6 R 9 8 C B h 1 e G i + q d b F U c V W c + O O K s d i o M + I Z Q S l V h j N I b m q A 1 a E F q w W f L b c / 5 2 7 g S L 0 5 V E J V h s K u E 1 + l U s G v f v U b v P n m G 2 r 9 a g t 0 W U w / T d + O n W H N m J 6 e x v 2 F 6 + p e 6 f x T G d f l + p Q v q P d e 2 A L f k 3 M q U 1 I e t y / f Q / 9 4 D z p s 3 S i 5 c 4 q h t 9 b e B L w u h u a N a t s m 8 N R s h K l n X R j g u i S Y O a E W m c V c L t o Q k + e X o o + Z m X Q r Z F 9 R v l j W j s F w R Z l K s V k h q n A j S T P U G x S / Y F K F k c k s X J x U 6 z k l m 0 r U 5 K b L / b 6 j c N p F k 8 l v s v B u t X g T I 6 O H 4 I 9 4 R T J b 1 N 5 H Y 5 1 V V M X J D Q 8 t o N v b s 7 W f 7 s b S X f x k w i 1 a R b S N R 4 6 J N q u L 2 a m a L G 4 l Z b Z n K J Z Z 0 F / w d r h V 7 V G q u I Z o f k p / V 0 M o 3 I G w e 1 D M i g 7 l O x F K A z E V y M f J Y j H h N Z W q x B z B t B C + q x S E 3 e 1 U / h B T Z N h f g a k z 3 P V j I H w Q F n 8 K 1 Z Q P o y L 1 O c 4 f L W q M 3 A 7 U z t Q 2 G 6 m Q + B B r y J f j 6 P c f U + O U o U l a E t 9 G v p 4 v J 9 V v c c 2 q X r T K d W y g r 1 7 C O h d 7 9 X P t B S 1 i V 8 e 6 f D / o r s J d s a q E Y C a P 0 q l / / / 0 P V J u t L U 0 l w 6 u E q M F U S q j K X z k R m Y L m c 0 d f C E v 3 Y u g f 7 I N L r 0 5 m r Z k q + R f 5 x / s n c y n I c K o q a G 1 q 0 S U + 0 / / 9 X / 4 z n n v 1 P B x V + V I L c 1 B r q + R a B o F 4 8 e Z p 5 v N W H q F v y H A 6 X R T R / O q v q 4 a b G z a Z O / O X H x / 2 x V B l G U j V R o n X J B N i 7 H J u Y O 1 6 W o j n i P 5 K a N z m g d 2 p L Q K S U I l E c V k 0 V 0 q F n G u b 3 i 1 t Y Y Y z A o S d Q t z y v Y N 9 F X i T S z g y 7 s X n X 3 0 B l 8 + h m R T y n m r n x J S e L U d 9 h 8 G i n 0 C B p Q + 8 y + 5 X h J 8 X T W O g 2 3 s A k x d n U c 6 V x X z 1 a R E 2 m Y R 0 b V 1 s d i G 3 4 h S 6 6 4 e Q s 2 j r W E z i z F s S i r E Y Q W Q O I D M f 2 H S E D 2 Z X R G e z O D 5 2 A p 8 u + T C 5 T 9 O s K m a J q 9 q H c b + Y e 2 L a i X 6 E O x t B w b M h 4 + l D s s S F 4 S U V + m f z x m Q y g b B c 7 8 E e c R v l 8 x t t M i f a w y I a 1 o I V G b 8 D v W X x 6 y p a c a N M F p n p F 7 9 4 W y X D k p D V p 2 X 8 V D M b + Y 7 q 9 i T X a W x X w 5 w 6 Z l x E e s J q L c 8 X E I F k n g q 5 p C 1 m I v j c 9 J p M c u j o A V y 9 e g 3 d / V w H s 8 H a J s 1 I n a P d F P N a W L L B D A t e k s 6 o r f D K G 8 v 6 1 k i P G / t i K J 9 o A W 4 S T J N m 8 e Y K O p r 8 G H H k B 2 R A C + J D 2 a 1 q P 1 j 6 V 0 z X M e q U C J p K A V e P j I v Y 4 6 U q H F 4 7 1 r J 3 t / w F a o 9 4 f h m B S i + q n r x 8 S u z l e B 7 d A 1 1 K 5 T N N Z n R 0 W E 2 8 g p 6 C Y k 0 7 V J p O K x Z v r S A 0 q J l l b F J S s R R E Y J Y V U 9 G 8 8 t i C 6 P U d l v P Z 4 P V 7 h T h D W E 7 Y c H H D g f 5 Q H E u p B G q 2 G A a 9 Z 4 T T h Z n t / e J F + 9 D V P Q S 3 T f x C E Q y s q e r 2 s r q 2 X z R x B n 2 O 4 / h q y Y 5 o f Q D z e d d e 6 8 3 b k B L C H e 3 O I 2 + P i r b 0 q c C K o y J M L r 6 f 1 x + W M Q y r T G t K f 9 U S y 0 G N B Q Q D N U w I 4 U 8 z K v g A o G b M l l 0 q q 5 3 9 U t 1 O m y p b / 4 d / + G 8 4 c G B c r R 0 R L P u w 6 q Y v N R B T i m g Z / O 3 P / g G z 8 3 P K / 2 K N l V 2 Y Y a s Z j Y 6 i m M e 0 W M z I r 5 e w M R 9 T u 9 1 z 7 N k l 9 9 K l K 6 q 2 j C 2 V F f h z 8 j M W Y W Q z E 3 L 9 y V o S 0 1 O 0 m d r a h o v B 6 g 3 t T z t 4 5 B z T N P 8 f E 1 4 9 U M C h n i o O d I k / v p c P x Y b q w 4 4 V b K z E k K l k 1 I 5 w X H T b a V v F Z D S N U H c A 6 W g W g e 5 G O N W M m q j f 5 f x V 5 S + s s c W W E D X 3 a l 2 8 s S I D U 4 d 3 0 I r 8 C h v P 1 z F y Y k C l y R S L J V y + d B V P P 3 N O X K N Z d R 6 u K 3 F 9 S S 2 K s o s o G d h a R 2 I l i X B / M 9 N r f a 6 F x O W y q U n Y j J 6 L m I x I V b 0 1 f D D d M G M N H O n / U g T F W c x H K z j u 3 k T 3 W J d o R j F B a G 6 y r w K H Q C a L m 4 x x T + D P Z h r 7 J D 0 s / m i k h N Y 2 0 Y q 4 + B C a M H y 2 b Z D 3 m U 1 x c b M k w q m 5 v m k 3 u I U x P O J L s b R 7 S H z U I 9 0 i O M U H W V p d U u s 4 1 F b t w M 0 I s i n x x a p V t d C b T K Z V E 5 h W X L 9 5 D S e P n 1 L X z N 0 s V J W K S d A S 2 Z U i b B 1 1 3 L 5 9 B 2 f P a h k k q o u V j 9 F I Y R 4 Z 6 9 2 2 i N 0 L O 3 W I / a b g N L w 6 k d i q U i D 2 Z F t r + p 5 i n u 6 x M O 7 O X F c T m t l s h J V p m r C n u A E y E y c 3 m 9 o 5 4 G + V A W U p B X 0 C M p W n 2 o H M U k F t c 4 m R D U T C f e g 7 2 q 0 x 0 2 Z e t d V i W f W r r 7 2 E + c R 1 1 R y F O 5 V v Z G e U 7 5 a o L K h o m b G O k / H P q s C D O f i w t c m 1 m A n u c g e s O S d i y U W 8 u + p s y 0 z E 3 Z V n M R V 3 o G z 3 Y M n S q Y I n 9 Z B w r 0 d n J u 6 q K B N 9 U / y 9 R 8 F M R L x d Z J e / x Z n K i 1 A g Y S Y 0 h m K g h B X I Y A R N D j F g 9 O y w a C 3 1 7 v 5 Q E K 1 I Z n L I 2 I 3 1 V D A r k v y D W Q + G u k Z w 8 9 Z t M e n 0 x V Q T G C j 4 9 T v v q O 0 4 c 5 Y 1 h D u C C I U C u P D R 1 6 r b k F G q Q V o 5 f l S L m L 7 7 + / d V E r P B T K t T j f I Z R 6 c F n 3 3 6 J U 4 c b 7 R 5 I z P V m e 3 h E 1 d j F 2 a y F J v d D 9 W V i b l + O j 6 e 3 O 5 a P A o 8 P 1 r E s 6 P z q j D S j D 1 N v r O j d g T t Y a 3 v t L W C y d t z q n i u k q 7 i y 6 + + Q m o x C 6 8 9 C H + 4 I R V X p 6 P o H u 1 U T u V O 4 J 5 M q j 0 U C d z r g 8 O v + R r c W J o w i s t c R b H L d Y l N G 7 s 3 P I K N W B T 2 Y q d q y u + P 2 M W U K y r f 5 c 6 d e 1 g v 3 F G 2 O U v X C R 5 v A g l P x n u j O I 0 b 6 4 d U K H k / y N X s W M i 6 U V 9 d R r B D n G 8 S t o w J g x X 3 o / Q T H 4 S M d 8 Z q x q b 8 V f a / U B r U B K O Q j 0 4 / d x N k t k Y l W 4 M 9 q P + 2 0 F 2 t Y A E 3 G 1 l + w B A x x 4 G L p 0 v C n M z y X h B t 9 + y J Y f z h 3 f f U e p P b 0 y B M M k w + U 8 T B 0 U O o O F N w i f n M f a U i 3 W H k 8 w U s L S 2 L X 2 a H q + x R N W E M R A y P D I k V Y V P B D M I f 8 a n K 5 m I p j 9 + / + z 6 e e + 4 8 / H 4 x b 8 t i a V D 2 y f V w e Y O 0 t i s Y y W P 3 W E Y / a v J b D F K Z X I C x c F 1 M s f I j L d 1 4 Q Z g p X 5 1 U 1 e B G j M D A n q P u d r t U s Z 3 P G U K k z 6 M K x 2 i 7 L 8 Y W R Y s 4 Y B u L 4 / 2 L v 8 V C 6 r r 4 R m U V D u e m Y Q Z B t 8 P q Z F R 8 s W U V X O D G W e y j Q P 6 h C l W R O 5 N A q m + 1 B 2 v g + I H z y h R 5 4 f m X U R K J + o d f X M P f / 8 v f o F T O o 8 9 7 C B / / 7 j r i s a R a R d 8 J n n q 3 E O 2 D E R 0 x 4 x j B H 2 Z 8 + G K e C a d B X J w b l 7 l 8 N M x E G D 2 8 z V 1 r D d B X L B X L K M b E p x F r u i 5 G g F G 7 V G W c R S 6 D v k 6 H a K o H Q V A n w B u r D m T E 3 y Q C c u x W L I A z L / 8 U v / n t b 8 X s 1 j P v B X P z C 8 r X 4 n 1 z g 2 m n X p p f t M b R Z e / F o P i Z p W w F f / u L n 2 k U J q d n Z 1 0 V 4 D B N b i a R E f / Y h V h s Y y v f j k K 2 m h F h W 7 T B y Q a B e 4 G X z k g k o 3 g t p q T S l P T B B O y S 9 S g w J B a K z 1 U X 3 3 l C 6 H U 7 / e y p o Z g A q x Y 3 x a T q 8 G o 7 j 7 N x B 7 d P 6 Q 4 O o y c 0 g p X Y D M 5 M v I x 4 e R 7 O 4 A j K M l C e g F s L T p i Q W E 2 p u q N g t 1 + Y U g b M 6 1 T h X 6 7 / b I E S h m P A F C I Z o H w 5 D f Z Z a A e f O y g O e Q j n n n o G J 4 + e E q k n B I E V j I 0 P Y W V l H U v 3 C q q L T 9 0 h E q W S l N + K q u A I 4 X R p i 6 s P i z L D v N 8 A u 7 H g O H 2 G d r Q k Q 0 J B Z W e A Q E w 1 F a K m l h e T a L l y T U V Q F W T c Z j b k F 9 p M e D s U d a I j q K W Y o p Q Q D c d o Y K V e h l / e v n n 3 H g b 7 e 1 S A a H l 5 S e 2 r a 3 c 1 5 p f p X E 6 H Z k 3 8 6 9 u / w G p 0 D X / 1 V / 9 B E 5 L y I C O R d v g v G o 2 p T P V q u a q W V m 7 e v K U K E b l D I / 3 h g i e l R Z I N / m h c X h O 2 9 u q i Q G h h J p a k 3 L x 5 G 9 N z U 6 o r b n T u O q Y n 7 y D Q M 6 F / 4 s H h k H F + e n i 7 g D d j X w y l Y v q 7 o F K 0 4 + O P P 0 a o / 1 U k x b 0 6 e N A v E q o s g 9 I g W G q l r p H I V q 0 O m Y k L w Q F X t 2 p 6 r 8 o W 8 n N b m 2 t R e b B C d K 1 0 u 0 E o J r B s I l V k V k G n N l H y 4 D l o 4 l U t 8 t 5 m F h 6 7 H 5 9 + + R E K I r 7 t X v o 9 d X m / R x F j t l L H Y r L Z / v 4 2 w e W Y n Q h l J m 3 H K M s z 2 M 2 2 l b G 4 F C B E V K / U t H 4 T u g B i 9 9 l C l f c c l L E Q s 6 l k R 6 I l f W g / Y O M R J k K n d U 1 V r g q R + / v h D I 8 j c e e q a A 0 X Q s G A C l g w G M H W 8 c q M k + / 9 8 j e / U n 0 m o q k F / N G b P 9 5 a z 9 q Y i 8 M X 9 m j a R C 6 J m i M + x 8 B R E A m G / 8 N h e D x e O N n 6 T M w 2 h 7 F 7 O y 9 f v w W u v T H i R 8 2 l w u Q U J H y Y a J P 5 h 6 w 9 Y + i f W 5 C + 8 s p L G O o d w v L a C i Y m D i D Y d x R J C u q H A J n p t V 3 q 0 A j 6 j H s y V E c u p j b 4 2 g 2 d I g G u 3 L y I 0 Y O 9 o M / u D z g U M 6 U 3 M 3 B 5 n F i b 3 E D f w e 0 5 f 7 S 9 X c I E L j v L o L 3 w O z T m I P i H 3 X T y t r j S K s b x L d S t 2 C z O a e X q L X D a P e j p H M T A Y D 8 O H B r A l c u 3 4 K l 2 Y + r W s k y y D e + 9 + w F W l u e R r g X E f z N p x 2 8 J 3 N 2 e a N 2 w q 8 u X Q 6 6 s M T k 3 Q + 7 s S M j Y i K l k U B U h x F 4 s Z c V / s s H K 9 m a 6 k u B C c K q 4 o r S w P R 9 E H z X w A 4 b R D W R N a 1 q U + / S v 6 s I 1 J b E + 6 u k c b l 6 / g A M H R l W l L 5 m J W i V X z i I k l s v t W 7 f x 7 P k X 1 U 6 C B 8 a 1 Y k I y E B f v m R R Q t h b x + a d f o I C 8 2 j m x t 6 8 H n 3 / 2 J Q 4 f O K g 1 d G E r g 5 Z U L 0 I F M / h Q w S c 5 Q K b i c / m j L C h h a A b P E q m 4 2 g L 0 / P l z W u Z F 0 Y H O v r B 6 z k Y t D 2 u V M K O F G 6 j v C F 4 K g 0 Z 7 h c 3 f O J j H V M y B s J g B G e F u 5 t T 1 + N i + S h M e M 2 v X c f n S D T z 9 z E 8 x 0 h V A e i O j 2 l J x r Y m M x I H s H m 9 2 3 M y h X 5 p i l K r a 2 b b D n P 7 T H u 2 / R 9 C p V T u d V x w q B S i f L a A g T r B K k Z F / 1 5 b W E M 3 q J d j f A v y u K p 4 b L S F d W B P T q g / X l h 1 7 9 t l + S 8 Z f Z R c I W D T H P g k R P f y / e G 0 F Q 6 c b 0 U U 2 6 m R 5 C a u A X S G v m L 0 W 3 E w / + i h X J r U p Q q 6 G Z 8 e 5 f S k T W m u 4 8 / U K T p 4 9 p F q Q E Q t L 6 / j y i 8 / w 5 p u v q a Y y R V c K s 5 N L y O X y O H f u K e E H O 7 x i Q d C P r l q Z + v Q O X n 3 1 J X T 4 I 5 r W f U D w G v 7 l H 3 8 p c l b M s t P n M D w x p I J i Z P a W 2 I 7 a S G 2 v z A k y E D / D W A e 1 E 6 u k + Q 3 u O G K s n a o k a U 4 F e U H f Z G J X h u r x V 3 B 6 Q K 5 o C 4 2 P x s U c S a Z u I 1 v c R E / k M G a T A 3 h m u I T o L N d r I i g X t F b D r Y q F 2 F x J o E N 1 F t 2 Z m F i y z o V M B U r i N l J L U d U D g N 2 N e t k R S S Q u z / b + / W / m B z 0 o j v R 9 K f d c R 5 d H q x 2 7 s + b D R l Z L d 9 o J L w 8 U R Y v K u L c q G x E 0 a B E 0 i c I S q s t e 5 L v n M R g 4 D a u Y R 8 m U D V / G d 2 f a h w X n 9 s 3 B I j 5 Z L u H W h f f x v / / 1 j / V 3 o H Z H L w r p f P K b n + P 1 N 1 5 S J i I X o z c X k h g 9 O q z 1 4 z C B Q p b l G P z b G R G C V Z 2 M 9 j + / / B 7 z E X / y k 3 + H h d k l D A 0 O q r 2 K 1 0 p F l M U 8 H j L V b B l g C + V E z g q 2 C k i I s u j y s g U B e 5 Z U s c M y q w J / a 7 V Q Q r 8 p 8 m l g V 5 O P k Z F O 8 / Y u 6 g a 1 x 2 Z y R k y M V X R 1 d a E 3 M I I B l k D L W / n N g q q X C i u G E V 4 w M i d 0 c O W 8 m r e o x N j d Y G 7 q S P V e j Y q D b G k + 1 4 M M O K H 5 Z 0 z r E f 9 D L u 5 R h l L 3 A s e i 0 7 + k / n K 7 G 7 X 5 m 7 d / z 2 r n e f G n p s X 8 s 4 p m C u u m o g J 9 d t Z 1 m b 7 u K Y t 0 7 x B j q p J A 0 N G L i q 0 k 4 2 x B Q H 5 z T Q j n c W B G r v + 1 H g v 6 B v x w y t w Y 3 Z R Y f l 4 r V 9 D b E 8 T C w h K O j R 1 X u 9 x 3 9 n W o w I r R u 8 M A L R Z q t / f e + w M O D B z A C q u s Z a 7 c b N o p I B F X K u z c l F W R 5 1 b w + 9 3 d m u a Q q 1 A W C N 0 N v 8 0 u Y 6 F d 0 3 q O N X R W Y R a N b u j O 5 9 f F p X F W M d x t E w u i r q q D d Y N g C + m y M J h 8 d r Y o 1 g 1 N c P l + w N F + 3 n Y d 5 U O d u s 0 o 9 1 1 L N v 9 K Z 6 B X L s 6 l w q Y k U v 4 I T a q S S I S B I + L 4 6 1 i d a m 4 2 Y h c v 2 x t w q 1 A 5 B 2 k v b M z H t c Y f f g Y 5 x F n d + y t t w c C H + j 3 R d n T a 2 2 0 x + X h R R 8 B + R t 0 / w X 4 W X r 1 v 3 3 4 w K Y Q 7 f W V R P d d L g t R a D c / L B p 1 c 7 I 2 X F h A r a F k k T O t a z W q 9 8 7 o j F b z J w s L H h M / E J U j E N 1 X G i 4 H 0 Z h b h g E 0 F G 0 a 4 B t W y J t m a L W H g 7 N k z q N r L a g M 5 r k l y z h i x + 9 n f / R x f X 7 q M P / z h I 8 R i M V U u w j z C c r m s 1 r 3 + 8 I c P 8 c n H n 6 J Y L G B y 9 j 6 c 1 W Y N S P R 4 X X D I 3 N 9 Y c W B m w 4 6 l p A 1 X 8 g O Y T I e x Q V t a Q L p Y E L O U m M 7 l F L k F R F D Y 5 X s H u H 2 8 C S l j I k z Y 0 e S j z e h g i p E p y s Q m h f H 8 A g Z d p 8 X U y 4 D l 3 8 F Q U J V H d A 4 3 + 0 l b p d A 8 u 5 g 5 B L V T N D c F R 7 Q P 5 W 5 t h Z k L Y x 1 6 s 8 O K S I K 4 n M s i f J 6 M p T D x t J b K U s 7 T V m 8 j E b i S L m r a w v Q U m o T 0 L V r A S C L r m w q l F K w 5 N + w h Z j V 4 v 7 X s Y w M U i m 8 d E o F T z a m C R A Y a 7 q w 8 + 0 D y g V 2 A X u u p w B Y S v 0 X M m F y s C H + v R z W g j D t m E X I O y F l t 2 r 5 Q T u 5 m e E 3 v 7 q Q R M 5 N c l 2 M 2 3 B e t x z 5 8 N l T E P 6 t h I L S C + f j 2 t K E H Q S E v m s P j w 4 8 m C j z x F m i G n X 5 5 A P 2 1 U 7 C b a t M I p i J x k 2 n m g B p Y W F h U m q Y Q K 6 P i K m J 6 e l Z F 6 J g r q E L t 1 a p q x M J F / i t X r y O X z e K 1 1 1 5 R 4 X w e u z 1 / Q U y 2 Y w h U w 7 C a O m J x A w l u a X N X a C W 5 w 9 x 3 d 6 Z w W r S f 4 Q 9 p t K s 9 3 Q l L 2 T w G f Q 1 z c k e G + t H h g l Z t q m c p c L 0 o W V w S Z j q j m I z 9 B I a Z 6 i 8 q l X X / J J B W r N x f Q / + h X u E I e U + c P D a I 7 P R M I J 4 T W 9 / C B F g L B g I n 1 I V z d d w I q Z s R n Y u p r I t W L I v E Z t J u y M R E L B V n V 1 K j I p d g 3 u H c z U W M n R z G p 3 M u c e r 3 G K H H C D q 3 r x z I q e A B o 5 N f z j 1 c Q G T U V 4 M / u 4 B I f w R u e F A P V F B m K Y d o p Q H f C c S L i 2 p s g 0 6 2 o t 4 u q Q l u 4 L a W v 6 0 K Q 2 l d T K + f E J + n f e 7 l f m E T O n i 9 v 9 S 0 x 9 Y 7 7 / w e b 7 3 1 m k h 4 I d Q d t N K 9 L y Z x 6 N k J 0 b x l f P X V 1 1 h Z X c a h k 7 1 i + j 2 l E n T N T T m 3 I N P O R q H p j R w 6 x W c 3 h P b c 5 h X U U x 0 Y G x 2 V u R f z X h S P V e j h 3 V 3 8 Z e 6 E y W Y 2 u i W o 0 K 7 k f y c k 1 1 O K T g + c P N D e 5 B t k 7 F t g T t J 0 W t 3 o s 5 5 Q z B R P r + H y 1 S s q z Y c Z 1 z Q v i O R q c w k 4 m a m c E r N R B r K W l I u T K + a q e l / g k H K a + W C R 2 N r 9 T Z G U v B T e U T P B c / G v H Y K u a h M z k V l V Y 3 w y k 0 g i U Z 4 o i 0 m g I j A D Y 3 h 3 0 v 2 d M h P B M h g j E G O 1 t G k d s E / M Z a 3 o n O i D K + D A o u U y q k K I z q x H b d B W Q U E E T a d q k r 8 T M x H W o h 0 9 P q 3 k J p o 8 / o 2 Z i e A U b u 2 0 o Y P J 1 I z s q S h Q G 9 C k G z 0 z g v h a Q i V B D 4 3 3 4 J m 3 D m N g 4 B m w J q 0 d M 8 1 e m R f a u 4 e P V o K I + l P q H B u z m 5 g X w Z l O 5 V T b M p I R c w C Z P 6 g s 4 x 3 g d d Y w L q 5 N r l b F 5 7 M u L B g B n F 0 i 5 C z H N 6 O Q K S L c H d J y F d t p K G q n d u H G + W t L G D k 9 i J / 9 7 O / x 7 / / i T + B 0 O V S m L R 3 A 5 G o a N u 4 m 4 d U 6 / h i J q b S F C d 7 0 0 v J 9 U e f D c D k 1 F d n a I Y c l H K 2 L u G S o R i D C f K k 7 j B K Z R h z w F f n D t Z z s Q y x u P i 4 w A f W 1 g w W V f X B 1 0 f + N S 7 K Z U 8 Y 0 m G I 9 L h p K n h f 6 U B M T z l y q T l 9 1 R 8 b K i w Q X o f n e I 2 q k 8 1 J 3 C R 4 x s 5 b v r o o f r c 0 r / R + C 4 X C z + 0 B w Z / t 3 3 v k d + v r 7 0 B W J I O L v V i 0 T u G Y 0 I 0 w z / t S I + p y q 8 p V b I E 1 + f q 8 G X y S K e L Y P F Z Y d m 1 A u F V C Y + h X + 8 s / / V L 2 m r 3 S i r y z 3 1 9 B O z 4 0 W c G G u 8 Z q p R D 2 B q s x N E Q H z 1 q V k L N P O 7 7 t B + e a s Z h B T c R t D c Y X + U E j E S b s w N W 1 P 0 T Z r a 2 v o 7 u n e s s 1 z 8 R y 8 H V 5 s 5 h a Q r y a E 7 G v o F 9 O D 2 e Q r 2 T u q Y p e Y l k G K C C c H P E F Y Q y K t D T 4 x I V t M C J F o 4 X L 6 C W b 7 u h 1 Y R c s W y m x 8 8 s G 8 + z s I N j w 4 X h O z 7 8 P p 3 c P l + 8 W h 7 j J G O s R c 0 Q V M u r o M v 6 0 P 1 q R T l a u v 5 y f F l K 4 j I O a f y 6 J 1 N i r X 8 + K c C x P J W D F 9 h 8 3 + s y U h 1 t n d I 6 9 7 g a H m 1 8 f F l L d b c P / L K R w 8 e x D V f B 3 / 9 e f / F U d f + w 9 4 f s y r a q l o S d g d V p X M b N R S K Z i W R x Y T d z E U 1 j R o N V / D 0 t Q K k p 2 j W B P / 7 / x Q C V / r O 7 / v B L v c 8 + t D R b w r z M O E n a L w B u m + X 5 j n u F / G i + a c X G + d m / N x w V Z M x m p V / F P W d M n Q 0 O c y + 2 B 7 g h + V U z U x F M O F b 4 r j z N L u 1 h 0 s S o k K n G H x l + T f 3 / 7 t 3 + G v / 6 f / U R 3 n X r E 1 e X D L G A N s 8 c W y c D P 4 O a 6 U p 5 M p H D h 6 Q C X c t g M 3 Q + N u f E R N P G d u 5 b k T 5 p N f o 9 f 3 N K z i w H 6 Y 3 H 8 N 0 L 9 F v H 4 g j f m E B + N d Z a Q K R f G N 1 u C p d M M u h O O w k H l 3 G M e a H G d G B Z c 9 x G f O F S 2 4 u G H f l s W x H 7 C j 7 S t j R V U f Z g 0 2 S 7 Z f X F h G O l 3 A i y d y W J p O o V w s i z n 4 F I K h 5 r o 1 Y i l 6 S 0 y x M F K 5 G K p x D 6 b t z b v 3 d w j t x J l E r Y O + z 5 g I F X M j y 7 f E y o q u i F n b X 1 E R U C W 8 Z S z 4 W d Z H 0 Q r j T i r b G s o I m E z A f h r 0 6 z l s T C x o 1 a 6 1 n P B L i 0 x U W f I G Q z G C 9 O a h o u q O a r d 6 s B m 1 o 7 / b J W q 1 g s R q B u 9 e v g C X N Y 3 T 5 w 9 i L j G C A / 1 d G P I L 4 z j s i B a m E L t U w 9 G X G k z I Y A B X r 6 u i Z W I L c f Q f 1 k L p L O 6 r b j o R 6 N 1 u s 5 N Z W d / E j q 3 7 R W m x B O e Q 8 7 E V k T 0 O U M K y R T I 1 w g 4 u 4 j c G N d e o m C z V n J i A X i v S x a j K m 6 R W U o n H d J M Z z d J r y L Z B i K M q W u v j B b e K C O 4 H R s O Z d q A F 8 T f v X s c L z 2 R x s O d 5 J W D v b z h w u K c 5 9 J x b L + J 2 K Y D e 4 E X 9 C L X K S X x w f / 8 + H p n m p c 4 S X O H a j v n B t Y z O E D u 8 T 5 h 7 E 7 L s D A V y l / w n 9 8 k S m m 3 g c O p P V X s p g o 1 G E p v M J h e W F P O O G c V d o y G c f t q P c 8 8 d g 8 v t w h v H Q 2 I a V p G M p t Q P d L n H E e w I 4 K Z I h D V K O z k x 8 6 r o + z g 9 D p R y j T U Q C x y K m R g V a Q X T O s j Q i a K 2 3 k K s 3 G 0 U o r X D 1 V r g i W I m S s Y O b 0 2 k O b u 6 7 p 5 s + U 1 w P 6 r 5 T W S m 4 l p J x j W q 6 o 9 Y l K g K J M X 0 K V t Y B E p u a X 6 I 8 Y P i d E l 8 M d F 8 Y r H Y d m K 6 F v T K O a s 7 1 J V y j 4 K / f u s U O m y a 0 M 1 X r J g w d c Z d u s c + 8 s C F Z A j j o m 2 G g m c w K A / + 5 V I A r + G I C I n d c F Y E l d 8 p T C R 3 4 J R L 3 o m Z C F W q v 8 v 7 R J 0 F p D p Y x U + t y w 0 Q 6 N O 1 B Z n N 0 F B K B Q r o + L H 1 r V r X M Y E N Q u b v b e L M a W 2 r f 4 L b + X P V m 9 K G o V e e s C 3 k F 1 j H w 3 Q T S o Z 0 R h i x b o E 7 7 I C L e 9 S a w F w 0 9 t Y 2 g 0 6 f O n 8 L V u P 3 c C N 6 W n / 1 / Q T X n t h c k s 3 9 h 1 q S K 1 k t y / c e F 0 K e m B B n A I X a J X R a h l G q 2 J G x z c J q d a j O S n v D 0 m S + X 5 8 R g c l i v h 0 w 3 l n G c L U K Z 2 N d v w m z s 7 N q J 8 S F + z G M H u l G K S / W h c e J m j A 6 i y X Z 6 p u b x x H c T O 9 g Z w W 3 V u 3 o C 9 R w f V U T E O f E L 7 q 0 S x c p w u P I 4 M U R e 1 s f 3 U B r Z 9 x 2 Y D K D N d R G m P D Q D r S u W N B h 0 y R l P m a D J b + d m Y g O 9 y B u 3 b q l v 9 J Q p a c n W J + M 7 s x M h L z H A A M x N 7 m A Y H c Q o f 6 A Y q b V e 8 0 a q J W Z C M V M L f e 1 c T / 1 v W c m g p f + y o H i N m Y i 2 M + h j Z x 4 J O C a V z L f i S v L T t x Z f R 5 V X x 7 L N 1 Y x I O Z T X U z x 7 W g M 8 H z y E r K 1 F Z R X x U m 3 2 J G t a H N 0 z F f Z E r z t M B N z w N Y l w p P B q 5 b 5 q p Q r 6 O n u U R k T Z K Z M P I u E W D j i M i N e 0 p i U Z S M G l h L c k d G l 2 s m R m Q 7 r m + y 1 M t O Z g Z I K y p i R L 4 s / T f N M R 7 r Y 2 A n S w F 7 M R C h m a r k P B i t 2 o 3 X F U F y c n R J H d K 2 S a d t B y M C L L z y v U j 4 M R B c 0 s 6 1 z V A u V G 2 C C I a G 2 m 9 H h 9 r u Q X E l j + P i A u h l q Q q J P f K v o d K z 1 u r e B / R z Y 0 5 z I J Q q 4 U t 9 B D H 7 P s J c 5 e r J v d z P m Y c E 1 L 8 K p L 6 Z + M X k Q S 7 1 i P o k d N B A 8 g Y X k V c T X G i 2 U 0 7 V l / R k w E j o H b 7 0 f H 6 b 8 + H j a C 5 9 d G 2 v 9 z 6 5 M x b V 5 9 Z v y 8 3 f X 7 F j R 2 z J H h W 4 2 i g H R e O o l P A E P e k a 6 k L V b V V k F M Z / 4 W r 7 W o A R G 5 Y 7 2 l H G 0 t 4 x 7 Q p / t w J 1 F 5 u P b 3 2 M I m 1 p o M z s H e 6 Z N v 4 + d y b w J Z v O O t V 9 7 R f 7 U 3 e Z L W h + D D p 9 X m X v b Q B d I 1 L G 1 y s 2 8 G q z t H 7 e o d l 3 M K j c j m r u J Q i m r J E O i 0 J g o h 1 c k m J 4 N o d p D 6 e g + 0 I n b M v i 7 o e L K q K R H x v s / W 9 e z 0 J 9 A p G s N / 7 A q A 8 u y m M c J p S 1 M e P e e R 2 k g + k m O D o 1 a U r U F B K y D 6 r m B z + c 1 T c B o H 4 U C B e 7 V p U a o a y e m e v 9 + Y 1 / c w 1 1 l 9 A d r i E a j + P r S N a G 2 L 7 G c + l o x z u Z K H G L p I d 1 w r z E S P o 8 3 + 0 w H B H f W H b i z t s M 6 2 g 7 g 1 j 2 L S R s + E A 1 3 a e m I a i P e C u 5 S u R 8 w u m f k s e 5 L q + l / 8 e G U H R e X X c g b X f b l Z l X r X c 6 3 n P T j C 5 + o d s Y + u w / L d 9 Y w f W k O x W U 7 h o 5 r 3 M 8 b W N c L 2 n p 9 b J T o U 4 u 6 Y f e A O k Z 4 u Z + s / J u 9 P t 8 I V x b E a c 4 U 0 Z 1 Z w + r 9 q C r t i M 7 E 1 L 6 s R C w / p + x 4 7 p K e u G X B R y u N S X 1 U I F E / L t O L M C 8 s B q y N C G Z d R O j H M u n f J v q C 9 8 T s 0 / x g b p K Q i m X l m v q R r M 1 t r e F R s u e 4 J m Q C Q 9 L R r B V / M H U R 8 r e x Z l i M y P t l a Q w D U 6 l F b Q v R H / / k F f 0 T G t h x l m 3 J B 7 n m q Y N l 9 2 z f v J s G 3 A 9 y 4 p t 2 u G v q W n r 9 I j j C 2 6 + z N a O j H W q b c o F i O m Z t Q p c Z G Z + 0 V f w 9 C 1 b F N T L P q R l b o 1 a t a b V L F i P V Q 9 7 h w q A W K a l j c n 5 d b V 3 i C j g x c L Q X k Z 4 O 9 I x r 6 f I E + x D c W 7 M h n r c o J 7 a p y s K E f L K I k R N a M i y 1 + / 2 r U y p l q X u i E 3 2 H u h H p D 8 M 3 K J r M b U E + V Y A 7 1 y V m B K s 9 U + g 9 M b 5 l T j 4 M X h w v q s n i H l d m U A o z e P C 4 0 E 4 L l e o p l P E 4 9 l b Z H a u p w 8 I U Q T G t L B g O P o V g p w / x l S x s F T 8 W U 5 d U Z s W d h Z 0 1 g n l j B 6 O h S z u Q O S s y V 6 5 u G y 5 c u C j 0 o G V j u B 0 B R K J H 1 X J L I d Z M 1 A U Z D v p W h F s 3 V R 8 G X E u l 7 8 i 5 X s v Y c H l W 7 q c l Y 2 Z P D S U / b 4 3 I v L n r 8 N W 7 E P G P q o 6 9 3 D y u r 7 O K 1 z u L S u k w 4 Z i L w 0 Z E s G l h l 7 l x z w y V s C R 2 r y E 5 u P H v z c U i D v q j G B x s a J v U R k Z t E W k G 1 1 R o N 5 9 s K k p s x t T F W f S O 9 2 i 7 d p j u a f n 2 G g a O N d K O 2 N 3 V Z 4 8 I M 2 m T e / / C N B Y i x 5 T U e R i Y p Z 7 K F C n n 8 f l s c 4 b 8 4 8 J u E v f 7 E P J / b n Q O 3 N 6 U Y P u A + P p p L O 0 S z S M Y a N l J u 4 Z E O z w z U s J X 1 6 Y w 0 h d A R 7 B j q 3 1 3 / n 4 B n k O N e 6 6 y W 5 N P f C + d h 6 k d 8 y k t 8 4 Z m 5 s P s O s g k 3 b N D R R F k 4 j v O u R A Q A e o S R j i o B z Z a M R + 3 Y a S j C m 4 Z p J p N t Z B Y P S 3 i p 3 X j g z b g 5 5 p E D C t u e b J B s X s N c G d G N u O 4 + N U V l T p v o J W Z C G o l M h P T g d h A p R 0 m n h m D v 6 u Z m Q g y k x E J J J i N b c 5 B c 7 m c C H q 2 R 2 v 2 g 5 d F M 3 F g D V A T f 1 v M R L R j m m R N q 1 v 6 P s D o / + e M D a P H f m R P Z i J 2 M 1 X Z C I V 7 / S b c J 2 D x 9 i l m K q 9 o / p q Z m Q i b u M M G M 6 k q X / b W s 1 s V I z E X k + 3 M D H P c 5 W g 0 W N 0 N 7 B P / 1 Y J b j T v 3 x F p J 2 x A h I e s w f C L D N y M z K W a g E m 2 h y 8 X U V Z M d h 1 1 9 f Z q R 2 3 S 2 c i h N 1 Z 2 9 / h q e 6 i + j r 7 c L H 3 7 + e / 3 o 7 m B u X a q 0 I q Z U 8 w C w U H A 3 b O h R w 1 b U Z D B G n h r C s V B z N H G / 4 F o P B 9 b A 4 8 p O 2 A n P j W x f w A 1 Z x 2 T i H 5 + Z + S D I F L t U u l c x W 4 T V Z U W / m P o t c a Y H x l z c L h q h r K J w h K N f I 9 7 i v e a x q O k m Z G m u j G 6 h N d U a O u B G T j 7 W H 6 o i U x J z S m i S a U 3 F c i P X p 4 X u d w Q j j g H x 1 y M 9 M u l y H m 4 F V P F r d H k 0 U F F p U s R O G o g L y 2 q V W A d 9 M y K W m 8 d s v H k j d M i Y N T E U 9 z + i N G C j C z P u 3 r 2 p i r q G D n Z s m Q Y q w 3 Y X s J S A h X Q r m Z v Y 0 L e Q i a 8 0 d r 1 o B / Y O J / L p A m a v L K g F Y 6 7 u T 1 6 c V s e / a Y E B J d b l J S c + n P p 2 z a y K p R G e J t h r g b C 1 z V / 5 9 n F 9 x Y U e / 6 G t I s 4 j v V k x 6 f J 4 h c W C 3 w C T G x o T G R p 6 I X F J 7 l 0 4 x U Q 6 V p 3 W n K P y W d P x f h m z 5 a Q N b x w s C H P X l Z 9 r B j / a 3 2 Z 3 S Q N G G f v L Y 0 W k R Z j S p 5 q 5 s a w Y 0 V n X / D n 2 5 N g q J t w F K t N d F 8 h B 3 R / 2 O c N i k v a J 9 j N t L S n Y Y i i b r Q y X V T P j u G E w w R K M j Y 0 o e r q 7 c e 7 l C f R 1 j C J b j q n j J P Z M I Y Z y r S g 3 1 z D V D H C 9 g 5 s 5 q 5 0 N 4 V R p R T 0 6 w x h g V 6 I m 6 P d G C T X 2 1 D B S 6 2 k x B 6 w Y P z + k q n a 5 e d o L t e a a K z P o q 5 w S b b o T r B Z t a 8 l v G x 2 u 5 l Z l h v Q 3 o m r f B 3 w x 5 0 b n o G Y B c A d K R v 3 y 9 T k M i B R / F C B T 1 e p + X H H 7 c W F W s 1 Q 2 W / t c C M 2 W Y w y z O 5 G v B Z W 2 y g o h P z u 6 X c M T K + z p 3 g Z M o 2 N g g l g Q p m R Q q M t f x d j J A V i Y t P s Q 2 n d e 3 6 / M q w e Z a Y X 1 B m f R 2 S L l t + 6 o J 7 A m P o v 2 S 3 V 9 o + V 6 1 Y p P P v l c b T f S 5 R 1 X T S S N + q Z M N Y p E e R F r 2 T t Y S l 9 X D G M G d / l j r w O b s H f E M 4 z 8 g r W p F C N f T o k G u 7 f V A 4 E w 2 m U Z C P V p h B i L r q p c K s L p t a h W Z u 1 w J z o l 0 l a T i u 1 Q q z / E S D 4 m Z G p L W / l 2 3 w f Q J G Z T E 6 L X c w g + S y / C 9 l G 1 E d 6 j w v 3 o a R E m G W Q q m u C e X L e L g G s w B d e n 7 G E r q i w e d a R w y h d V F s U X s 1 p 2 u P F g F s h u Y K 8 I L i i z / o w J w k 8 P l z A k T E b r i 5 U R b S E 6 g Z E 6 t V V P C 1 h T N x q u C P 1 o Y 8 H N 7 4 i T v Q N w K s e r g S 0 K P 9 G j a 4 9 y 4 4 T D 4 V M 4 f H j 7 d i Z k K g Y N 3 L a g 6 s E d c Y + o L P G V j J a a x K L A 2 E w W j u g g b G s 9 W L i 2 h O 6 J Z v + H j M Q 1 q U 5 3 c x k 4 1 6 A I b s 5 G l P J i W 3 c P K W Z P R G v 4 s B B A f o e i w Y h H K / v 4 P s F w q I l k b Q Y X 5 r X M e D c G x Q R q L 2 H 3 I p j H B X P m h F 0 3 R 5 l B / q j w y o G C m H z d e O t Q C c n 1 J J 4 d 0 3 b 1 N 8 C F 3 W q m J s e y 8 H f 7 E O o J 4 p R n X f l Q H 0 8 1 g i D 7 y S 5 h 9 g X b g 3 G s 3 5 9 0 4 S P 5 / q f i S x c q V m Q r 4 j v p n + O 5 V b m G c I I l V N O S X 8 W v M r s 0 7 O D E 9 4 2 0 O D Y V j e X b B 5 V U 2 H w w d B 8 B d 6 8 4 b 2 5 x l u X L J g 0 w N T W N A 2 P j a p H O D A Y Y X L 7 t i 6 z 3 P p / C 4 R e a + 0 e X M q W m x u 8 b u W l V 9 9 T p G d e b X D a D E U I y q 9 P u R m o l g 9 X 5 K O Y 7 9 p P M + f 0 F J a t M M T 6 c D G C X P Q y + U 0 Q 2 7 + P c 8 4 2 F Z 2 Z V e B w 1 k c g N y + K b g G t 9 X B A 9 L x q j n t h E 0 V / C 3 O Y Q n h / V T E A K m E G 2 M R C B Y i R D U z h z g 7 W 1 x X W s + Q d U i 2 g m z j K k / q B Q 8 Q E h b c 4 F K b y Z o p v B G i p r u M E H r T A K W 1 v R t A 5 l 4 K W x D F w 5 O 2 6 m y o i m i j g 4 F E a / N 4 v Y f A r F X B F 9 B 3 s w f 2 M R o c 6 g 0 j J c M 6 D f k 1 h O q h Z h 3 k h z 5 d X m f A K e A T H V 7 C H l N 6 3 l 7 q p 9 b b l B d D u w f o q 7 J G 7 M x t B z o H v X B h t P E j i B O 0 / R 9 w M / O q w 5 2 W S m R w 2 W Y F T 1 q N 6 x v q / R l T 4 M e 4 d I f T H 1 b 4 u p f i R S U S H u 1 Z p N + Z c G o x l Y T t 1 U e Y j U O q 8 d L C q T z g h 4 7 I W T f S X E 2 B o h Z V c M t R 9 w a y A 2 e D G j x u L J X Q I Z b R m q H a j 6 z w 1 z 2 8 5 F 9 P q P Y u E 6 I y Z W j J 5 u X w w Y L y x s t Q c r F 8 p I Y U m Z d 2 w j 5 h N G 4 u b W O 2 H h x j I G j v c o M y 8 l N / W l n l f 2 A x 4 f y E i b q w l E + r Q 8 y c f B U E P i h y w m N M 1 y t D e N O 2 u a i T 7 m T Y n Q d i I + V 8 W l I r 1 8 i u m G / i A D l B J l F A u 0 d O z 4 e D m k 3 m X 0 j 1 G 3 T n n c X t + / P / r G o b T 4 j D a E T L 0 3 d k I t L f y u e x L s h E Q 3 y s Y Q e 9 4 i / p i 8 x + 6 9 J s t 9 3 w x F h L x x 9 I f u o c s z A V c x o G X 0 i i i J r y R V b t b M 1 X k c O D e K 1 F o K O d 8 y + o T x i G w s C 1 9 r O E T H S v a m a j H F v W q J m U t z 6 D z h 3 m r W s l 8 J 9 A P 2 B 8 Z 9 W v 1 y 9 l / g o r 4 5 J e t R M 9 R r E w W k y j O 4 P N 8 w 3 Z m Z c 9 J V h q d n O w l S E 3 y y 6 s S r o q W u L 9 t R k I / k x H V 6 7 W B Z 5 R O a U 6 C Y b 9 3 O j D 4 7 W M T l p e 3 C m F X F K i t + v 7 4 q z 2 3 i v f e E J s 3 f H H L X c M h f U c z 1 Q A x F n B 2 5 g 4 h r R N s 1 r i U n T j l y c q j V 3 5 q 5 N I / x c 3 o H m 2 o d q 9 P r 6 B q O q B V 0 f q e U L i E u T m r v R P e W 7 U z Q 3 j b 5 h j / g M e L 1 8 Q y W c 1 d V 6 c Y N I e T V H U L S 3 x S j H R W 1 6 E u 8 3 F m A e 3 v L x Q b S V q y J L m L k l s E L I y L I 9 a c 1 M Q 3 N g o G C g s c Z 4 d s P m J 5 0 Z r C M C L e K f Q C w r c P 7 k 8 0 u j R k P 7 G 1 G 3 K P C F W R v 7 U L M a 1 B k h k K 2 q B Z l q b X Y a 2 1 K N E 6 w K 4 B K t Y R C K Y N k e R n V v t W t 3 C 5 + h 6 e j X 8 b n 3 E V v U h x O R m T Y F + E H P B 4 o C W 2 p 4 Y W x A g Y S N 1 G x 5 u B 3 d Y s Q 8 z w 2 Z i I M Z j r Y X Y G 7 g y H o Z u F r I D Y f V + u O L K t X r 0 3 h d a 4 / t W p Z v t 6 L m V y 6 R n K J 7 8 W C T 2 4 u R 3 q j F V S p V c S 9 S G 8 t u u + E W K G x n 3 Q 7 P L C G C n u q G M g s q t w 7 b p j M / t n s b 9 7 U 5 Y h 8 Y D J p 2 V e c J R h k G E v e D W + t H + H e R o h 7 f X I D o d E u f D z z g 3 n 3 s C B Z d m T n s O n b v a X y K 9 Y U i u I P + 7 t k g k Q 6 / + G e D 2 8 e K a g a q T 7 / e X z 0 m L N I 6 A / N x c u 4 H w 2 o F K c T f d s p u D h b g m u M O 0 z a c E B f B 5 u J 2 T H V s r l D Q E y t N B v O t G A n E 5 D g e h R L j T h e B u E f F s G 9 k G A 0 0 y U a t K w 2 4 h u U a 2 t t I G N g N z d k + 9 X s g X o 9 h v 4 j v S q c a T S j J z O x h 7 i C X G W x r K 1 s c 8 G X W e N h 1 4 C K 4 f s d 4 h d 5 y 8 h 4 p 7 F 2 P 6 o + Q z A q + A M z P T h o H b 9 1 O K + 6 n 4 6 V p 3 H u b I 8 K L v R m N S k 6 K F b B A L L o L 6 V x 1 j W P F w 7 O I t Z 7 D 8 F R J w r e G C q L Y l / w J A K W c n y h 9 3 N 4 n C A x k p k I R t z a E a d z R J P G 0 z G H q q u i x d L K T A S Z y Z w L w B I i M u k z w + 0 z K w g y 0 1 M D J c V M L O c h 7 k U d i p m I u b h D M e O 8 H j w x g w m / X y 9 s X y o y 4 4 E 1 F E E p U x X t t J y 5 j a H g K V h o s 7 E y V C T f j Y v L W A 1 p + x 9 Z 6 j X 4 8 z H 0 Q f y j Q 9 1 w + x o T Z m w A s H h j B Y 6 R A V x f f f y T + W 8 J Y U 8 J R 1 w 5 u E M 2 t V + x k W X C i m C j i J F a h 6 B f x O e s K 2 O n 3 2 I 1 g y H / U 3 h v 8 t F H 8 h 4 G N i H v N w 6 b c v x M T P I g Q S l G o m l C 8 u s 8 1 e H u k j B L M w M w M s h t T / e D Q / L 9 v k B d J d h e n H e K S b i 3 / n k o h u r x V z H e u Y L o 8 h o G e y b w 8 d L + S 9 I Z U W I 5 x R 8 m 3 R g M R V G 3 J L C c a G 6 q + Q P 2 h 7 d G 8 q o / 3 N T V W U y c 0 T J O 6 N N y O Y M o F b R O U 2 a w 3 T U 3 Z v N v n s U l U / b 2 d w n G s N 7 Y o c C T G u G b t q x u B 7 v 4 U U a k k C b i i + J L f j z 9 z a 2 k h 2 I o Y r T z J j y W I h b T T 2 G 3 y s 0 f 8 H h x x r O I 7 u F O M c X F T q G P K v 9 K 9 T S c e t v l T D K n d o c I R P x i M V g Q 6 N K W L z 4 Q g W Y s s n 7 X e G O i A F O r k m 3 Y T U v 1 B c T 1 4 L Z G O g z t Z A a t 2 t 2 i x b S 4 L i 0 6 t y f r P g Q e m q G I S r k M G z c G 1 u 3 w H / D d g f l / 5 4 e K a h e + v c B + i h 9 M b y 8 Q / S 5 B o i b j s I Z q L N L I 7 y M e 5 / K J 0 T H 5 Q U z L 3 f B Q L P n 8 W B H n B v N 4 c T C B b H r 3 G q c f s D M i 3 i p 6 9 B Z a 3 x R s G 8 Y S j F v 7 6 B D E 5 q R j k e / X k s S V J a c K k b O G i s 9 Z v E 0 i 5 z 6 4 D 8 p M e + w v 0 Q S 2 V K D 7 8 a j w U A z l d 9 b R I V c d D A f g D 3 5 7 p e T f B E G 9 0 t I A b e g z A w 9 H V M d 6 H p 4 Y G Z G j N O Y j V 6 7 h 9 G A J r q 4 Z 1 U b 4 U W A 5 y c i Z Z 8 d a I Y K B i 6 F I c 7 n N d w 3 2 L u F i r f H 8 E 9 2 f + U j + n n v A s T F 1 U t g X H v T z u + G B T b 4 j v Q k M h 7 S b Z d r 7 V 6 s O J C v f n Q / F x v v M 9 6 N U Y m k 7 + w m w F w G b h D A y w 5 s j 8 R J 3 L t 7 D 0 W c O q + e 7 Y T f 1 z 5 A s N z b m b 3 E z 6 Q V 9 o Z K / w X A r f Z O d w J 4 b L 4 Q K a m M y Z e w X 5 Y 8 X + H V h H q O V C a x n G k z A o B 0 f j 2 K y + b u v T T R X l h K P I 1 / v U Y G 9 9 d g O 7 H G B 1 s F m b m e h 8 7 B 4 Y I Z 6 Y y K 3 1 a y S Y A b w r d X z + q t v B 6 z I P N a 7 P y 3 B 1 K b V 6 T X 0 T 2 g b g F W F 6 u d v L W L 8 l J Y K t R M M p j r Q W V G P / c B Y i G T t D j O l V 7 J f C Z c H k V h K 4 M T J s z J u 2 9 c 2 t i C z Y G T V c 3 h Z + k 1 T h / 7 D o w C z r f t M J e P f Z 2 Z q B d e N W M L + K E H z 0 t C I j x I P x F C d H U m c 7 W 5 e L 2 I 5 v L t w D l f i e 9 v u 3 x S n h C h 6 T R 2 Z 9 s L 0 1 T k c O L M 9 c y D J / u 2 p O M K 9 I W z k Z k W C O x F y N V q k 7 R d M D E 6 s J d H R r y 0 b r M 9 F x Q T 2 w 1 l 2 w + q 2 w C J + / 2 f X f 4 W T Y y 8 j 1 G Y f J A O Z U h m l h T w u V X v U p g I T e r u r d p q y Q y R r / B t I V p 6 / y 1 f F x Y X / v t f 9 / E 4 2 g P m O G e q F 0 Q x 8 O 7 T D S W 9 Y c W H z 0 U o R + h v s M r O U s q t F u 9 a 9 h 5 i t w S 1 1 I g M d S h M x 2 s g S h E C H D w 5 X g 8 F r W T G f 2 i S 7 z 9 5 Y w P D R A e W k 7 w d c N F x J 2 t Q u j y Y l 3 Q Q 2 v 9 f 3 i 0 M 8 H t f 2 j R 3 S F l q r C X l P e I / n m K o s K 7 P v u D + M i F M j 7 l u Z u L z W f F J K z 9 3 K + f 9 7 A z P D H 2 Y T u H Y w F o A f B / b N U E N d a R y N 7 D 7 B d T H T C / m i 2 P 1 i F l q 6 4 H b V 8 I G o a t a 2 9 D p j q t e a 1 7 + z p C a 4 k k 3 G q W S s c A Y 0 b c Q L N G 6 f u z j k U g U E I j 7 E R F J 3 t Y m S c X M v t f + P A f M J 2 i C X z s M b e D A T K L a 8 i c 6 B l r Z m v B T + j j x q p T r + 5 e 1 / x X O n n k d f X 5 / a 3 G s / v b E X 7 i 5 h + M j g r n 7 c f 6 8 I u 6 t I F G y w W + q o P G D D U / q t b T c d e c T Y F 0 P Z r F W x 6 b 9 Z m L W c r O I 3 0 1 V 4 f d v L h g 1 Q 6 r / W X 8 B n q y 5 V O H b S V U X e m h E m q i K 1 m R J t M t i k A f a N P R j K A P s C d g 1 3 q n 2 L 1 u Y 2 U M g V F K O l 4 i k c e / Y I 0 v E M V s Q f O 3 x + Q u 0 e w p 0 Z u N + V v W V D d + 4 J a / N Y U S g U 1 M b M H R 3 7 j 4 T + 4 b Y V F T F B f 0 B 7 k E a O d J X h F 8 u F W n w h Y V e Z 5 i + N F e F 2 1 r G c s C l f k f 0 k 2 M 6 Z g o m Z O V n R S J f 3 2 J f 3 U W B f D D U y E M N h / 3 a b i V E Y R m P 2 A 3 a T K Y k S i E V t C M m N / n 4 2 j Y D e u J K 0 z m h d s F 5 T q T S G J G c W e s / B r q 1 d w C v R 7 c T b C h J 6 6 + 7 1 + 0 W 9 L L / P D v b 7 x E 6 / V R H T z i 6 m H X d A j 5 C Z 9 r n w X a h W 8 c l U + 0 L M H 6 C B L c H Y x Y g p V s V K V p h m d + n K w M 5 0 7 O F a O j 8 M 9 m S o U w N i X o m q 9 e 7 g Z 8 R z F n G U d 2 c q d p F p b S g 4 f W c W o e 4 A O p z d s P p r q C W t q h m 7 g a m v Z j H x d K M j U l U 0 g a 3 d 4 j 5 P K / S 6 E 3 H z u C p j F g K v y z l o C r Z u Q E x U k 3 X Y Q t s J f 4 0 7 L o h 5 Y W 6 q u P V Z X u 4 u / H f 7 1 h 0 c O 6 5 V L e 8 H h V I F n 8 w + + g w G + n x z 3 x J B f R v g m q I 5 U Z U + U V i O n d B 7 M l J j s Z 5 u v 0 m w j x K 7 i m M u 4 H o q 5 R 2 Z i d g X M 7 X 5 z I G j Y 7 h / Z Q Z l Z w 7 l e E 3 + F r B w c w m z l x e R X s 8 0 M R N B D d U W x p h Z t d + g C c Z 9 X m v Z u g o C K C a T B 5 U E e w M 0 M Z M w B J m D G 2 l Z X B b x v e Q 7 6 e Z r 7 Q 2 w J K D B T J R 4 B u P N J T U i Z R V y 1 d Q c V m / f h r n 5 e e 3 J P u F 2 2 v F U 7 8 6 N P B 8 W Z C a G 4 d n U 5 N 8 C W r O + V b B I z D + a d 3 y w 5 O O 7 Y C Z i G 0 M x s j b a G 8 e r B 3 M 4 N p h B M O z A C h t N P y S o I U j 0 h U o N C + J P Z E t l u d k a q i J G T p 0 7 g V / + 4 t e w i l v l 8 j o x f G I Q Y 2 e H E O j Z L q V 3 2 4 C 4 y r 2 z 9 f I F N r + 1 i d V k 9 V l U R I 3 Y 0 Q S U c 9 q C F r X r Q r J u R V o e t o C c p w 3 d L a d u I J a d b b L e W M 5 N S X h / 0 y F M p j E S m c v 4 f j A g F 0 M O 3 A e M b X r W C v E d d 4 n 4 J u C C M / 2 K H / B 4 Y X n / e r z O F J x 8 p Y r 1 Q g k 9 I i X 9 p p C z g V i u j I j H j l i h j C 6 9 w 6 g Z N S G c 2 V w e b C H o k I k r W c Q s k v m z C d U O O Z x w c N v z F j C s v L 4 e x Z H D h 1 V H G T Y Z 3 A k 1 0 T Y 0 2 9 q h K t r I J g y 0 H 7 D y c y N r w z N 6 A / 9 q X L 7 b o T V E f H W i q B o i q s w K 2 g 2 m 6 j W 1 1 Y n 4 g P U y t Z h o X Z t o N p G M d l M n N O 6 N o O I J w s A U J L l i V o X y u X v J T u D 5 V A 8 O Y e 7 r y w 7 0 d a X Q 7 f T s m X X x A 7 6 f s M Q 3 1 7 c C k B S m + / G f c + I 8 1 2 T G v Q 4 H 1 j J F 9 A f E M S E v y H d Z 7 s 6 S + P 2 A 2 9 f 8 / c 9 / j r / 6 q / 8 g t G u D b b e s R q Z z 7 R S k 0 X / 7 g W H w 7 x 7 f r c a E U X Z r J t I G l b U 6 E r Y Y w q G w 2 l y s H S q b w n u m y D u 3 v + R O 6 E b u 2 u P M s v 4 B j w c m G S y Q F 8 v p v Z s A e m 0 2 2 G 1 M 7 o y J 1 t L D 6 f q J 9 s t M R F 2 0 2 N j Y G B z C m L s y E 7 H b E t g u D L F T y T L N R P U 9 4 7 s 7 W F n V + I M z E 2 H v F V N y U 8 z I T F o / 0 g D 9 P M L M T A R N P X M i 6 A / M 9 O S h i Y p j + R I G A m 5 k y 3 v b 8 F a x a 5 z Z I F z 2 h 4 9 K 2 Y Q x V 1 Z W h H D 2 Q T k t T M M m 8 j T T m K R K 1 H Z I S G b b X 6 I i p p 0 B 1 u L Z W p f D q E Q a Q c Y t t A u o 7 B f + I T e q m b p q g l / j D s 0 6 L D v U L D E D n r 3 n D L y w w 6 4 T P + D 7 i y a G i u j l 0 l 4 x U U o 0 4 n d A L W 9 R D r o 9 v I t q 2 C e Y 4 7 Y X Q 5 m 3 t u f G x t z C s V y x 4 H h v W W V S E 8 b u H D v B L n 6 S Y e L t G O C Q 4 0 x T M u O b 3 O G N G z d V / 8 F h / 3 l Y T e t b F s f O Z / X K F H y d 1 B r Y f G 7 a d f E H P B n Y m u X p X E 7 s P 2 2 i + X + n z Y q y E D r / t W K j f h 9 V S 0 k c 5 w o q x q 7 x D w H 6 Y e l 0 W u 0 S r l 4 n m i m d 4 U + a b K t J q y p R 5 p b 9 X N j j F o 7 P i P Q e C D X C 2 U R 1 r 1 r H f X C H O e d P 8 f n O K w a 7 Q 7 5 b K o p 2 F L l k j j K a w + s G i i a B Q Z R q N V z 4 o f 3 0 E w l L Y n O 9 X p Y J d A h R 0 y H 2 m n b e I P J i / n l M T j X 3 I s 0 6 Y k i U F x B w 9 i D k 6 t f f e X C k k i k s i 8 l 3 9 O g R / Y j Q X 8 6 i 9 Y s W k K A V j / O l z g w M v r E G i Y u V D 4 J a T p j l I X u S 7 L R o v B O U 3 9 U h 1 7 m w i K H + o a 3 v q r Y P z T J j G 5 K l E k J O z Z w l T v a X c e O H J N k n B m p 6 l / V 1 J u Y + s Z T a j F S 1 m X D r 8 r 7 P 3 Y H B w O l v x E x E M B T E 1 P R 0 k 8 l H Z j K c d j I T G W G L m c p 1 F U X Z j Z n M 5 u E W h J A f l p k e B M w z J C z B K t 5 9 9 3 1 0 d 3 c p Z m K y r j q + B z N R s J m Z i X 0 i f m C m J w t q i n v 0 d S V a X q 2 b f X U 5 X S K h L W r N h W B 6 E D v r 8 N 8 3 R V W Y 1 e 1 y q b U a M y w 0 u 8 g Y Y t G Z G c G q + x 7 t m I b r V E R T R o V x K 3 s Q 8 p 7 Q v 8 9 F 3 J 1 Q k 2 t i 0 i 7 z 9 x L J J H 7 0 o z f h d n M b T L k m + V q 1 Z X / j z d w 8 U s U N J M U f v Z U U l S a f K 4 h v a D A T 0 S r c f s D 3 H 4 p U X L o P Q 7 A E g z t l 1 w s W 1 N J W W F I 2 k b J 1 I d R m R n s U s F p t Q o B C T C 1 Q / K U k e 3 u C 4 i J r X Q 8 e U L n V M q K 5 d l r 0 f Q S t E 6 h Z u O P D 2 f 6 S 8 u t a U R d f 0 C q M n I g n c P f u P U Q i W j y 8 V t Q 0 K m G T Q z Q F C Q q E i G d E L I J u V U 5 / 0 B J W 1 b o X Y j / 4 T U 8 6 r I l C Z S s Y w Q R V i 0 c O B o W B 3 E I M A S E U U 8 I q w Q r d x f Q 1 J I r a b v D f B N R M p 0 + f Q j r X J n 9 N L o n X 0 A 4 M e S s t J u C l W / 3 t G Y / n I C F / U 1 C 7 s C n i / Z g d r 3 V t D 8 J Y G M A p l / H 2 V 5 v I d r 6 + p W W s r u b r o l 9 F K C 3 K a + M e L Y K P V p + c c v Q f s D t U U K K + K S L Y L 6 b c H q F n A 4 z 8 P Q q T j / i 7 v / s H / O Q n P 0 Y 4 3 F x 4 y I h f K z N / V 1 D 5 i D Y Z L O O W t 6 I l D S R T K W W + u u R B V G J 1 L O T s m M o 7 V A 0 P O + Y O B K p b 5 e 0 G K u I X f j r P 9 b R H M 5 4 / 4 L v D c + G y x l D 6 6 + 8 E i U R C f K k q O j t N 6 Q j k I 9 I X H 8 q k E 2 m / e 9 n L r m D S 6 n 6 q Z f e L d l E / + k 4 e l w f 3 k i G 1 Q E s G M j o i v R Y q g P s k s C D u X t S O l w 8 U 1 a 0 x h E 7 z z y Y W w X u z D S 3 F c g T u L L H + G J q I / I B H D 6 Z i M i e a O a B W b r 7 L 7 T u / K 4 T D Y U x O T i E p j r y B W k p E u l w k U 3 e I b 8 J M x K N k J o L M x P I Q w o j s 0 W / K 5 D I 4 M 1 C C W N F b z E R 8 m H S j U L a g 1 1 / F K z o z E c x Q Z 3 K t x W n B G 9 3 i G O p g l 6 V T + 9 j p / A d 8 9 3 i t t 4 T j M l d G q z p r p r y B b L k l B P U t 4 5 l n n s a l y 1 e R T m v x c p p 6 d a 4 b R b h w o w 5 9 Y 3 A N 6 F F C M a n w l L k c f 2 M j p v 6 y b a E x w A Q D E 2 4 G d X a 5 l 3 r d o r 7 D B 7 d v + W T G t Z U F 8 t 8 T T g h x s k 8 I x 4 G 9 R c y 1 a N 8 3 R M S K s A c b m 8 I R u s l H a f u I K L c F 7 A f x + R e f 4 + D E B F z u R h T L 5 X L D 5 9 N i 4 j S X c r k 8 e n p 6 Y K + L x 1 7 Z f a f t 7 w I 0 z c w h + X Y Z 6 O w f w S 0 j f b 5 G u k V L F U g 7 9 2 s L t Z R 8 N t j 4 D H f X e 5 y 7 C X 7 f Y B Z C 7 U C z 6 o M 2 U d b v A k / 3 Z h E I 2 L Z 1 v 9 J f P h 5 m I h h y z u V y 8 A e C K h n W K g + L 1 a q y C B Y W F 5 H J p n H x 4 t c q p 8 + e d 4 I b I X 7 f m I l g y J v m X V 0 Y Z q c M d A Y k V l d X U S w 2 k l q b 0 / l 3 Z i Z C M V N J f k c P 9 Z e + o 6 r T b x P n h z V z a S 9 m I l q 2 b v 7 O 4 C u l E A 5 t Z y b i k Q c l 2 O n n n / 7 p X 1 R + H i U 2 A w 6 9 v T 3 4 s z / 7 q f 4 J H f K r y Y U s C v Y c 1 l f W 0 d 8 1 g K 7 R / X c H + j Z h N F 3 Z L 6 h x q a m 6 u k z V h w + I m u L J u m p 3 z e W F X 1 1 f h K d 3 Q r 3 3 b w X 7 Y a J W x H J W 1 b 2 I g o p J C B Q 6 B g G z B R 2 r q E N i i j 2 u R p 5 e + c 0 X J 4 r Y L J c R c Z i z C D Q 8 c o Z K J J I q A 8 K I 2 h l p R e Z s i F r c C m v H d x Q S p 7 n 7 L V h R 0 W g U k Y 7 I v p t o 7 g Z q P A q q o D e E v F g T n + 2 S s f E k g K V v r x 9 8 c G Z q h 1 q h D k t Z T s g Y k M w t f W W S X D 5 X x 4 c b d b E a t O i p R x j h R L C C v D B d R c a Q u x J y K 5 t y z a o S r r k d K s 3 z E / 0 l 3 F z R G J b 9 / 5 i c k 6 t q T N v v q u L E q B Y s o v m Z K p X R 0 V T d D v z / x t g d I S P U c W A 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 N a m e = " S c h i c h t   1 "   G u i d = " 5 f 9 e 1 2 6 8 - d a a b - 4 e 9 e - b 0 0 2 - a c 8 1 1 5 6 8 e 9 7 d "   R e v = " 1 "   R e v G u i d = " 5 6 e 7 b 8 0 7 - 7 b a f - 4 c 5 b - 9 b 7 e - 6 1 9 c e a 3 9 f 6 7 8 " 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547A0021-D87C-422B-94D1-133615204031}">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C9D49B63-8D7F-4AC5-92BE-DE0A5E783BFC}">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26</vt:i4>
      </vt:variant>
    </vt:vector>
  </HeadingPairs>
  <TitlesOfParts>
    <vt:vector size="26" baseType="lpstr">
      <vt:lpstr>Table of Contents</vt:lpstr>
      <vt:lpstr>Information</vt:lpstr>
      <vt:lpstr>Imprint</vt:lpstr>
      <vt:lpstr>Chapter 3 -&gt;</vt:lpstr>
      <vt:lpstr>Equity</vt:lpstr>
      <vt:lpstr>Bonds</vt:lpstr>
      <vt:lpstr>Portfolios</vt:lpstr>
      <vt:lpstr>Funds</vt:lpstr>
      <vt:lpstr>Chapter 4 -&gt;</vt:lpstr>
      <vt:lpstr>Countries</vt:lpstr>
      <vt:lpstr>Sectors</vt:lpstr>
      <vt:lpstr>Financial Sector</vt:lpstr>
      <vt:lpstr>Management and Hedging</vt:lpstr>
      <vt:lpstr>Factor Investing</vt:lpstr>
      <vt:lpstr>Best-in-class</vt:lpstr>
      <vt:lpstr>Chapter 5 -&gt;</vt:lpstr>
      <vt:lpstr>Carbon Risk Factor BMG</vt:lpstr>
      <vt:lpstr>Input Data -&gt;</vt:lpstr>
      <vt:lpstr>BMG</vt:lpstr>
      <vt:lpstr>Risk Factors</vt:lpstr>
      <vt:lpstr>Asset Returns</vt:lpstr>
      <vt:lpstr>AC</vt:lpstr>
      <vt:lpstr>AC2</vt:lpstr>
      <vt:lpstr>AC3</vt:lpstr>
      <vt:lpstr>AC4</vt:lpstr>
      <vt:lpstr>Blank</vt:lpstr>
    </vt:vector>
  </TitlesOfParts>
  <Company>Wirtschaftswissenschaftliche Fakultät - Uni Augsburg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CARIMA Exceltool en</dc:title>
  <dc:creator>Martin Nerlinger;Maximilian Görgen;Andrea Jacob</dc:creator>
  <cp:lastModifiedBy>Martin Nerlinger</cp:lastModifiedBy>
  <cp:lastPrinted>2019-04-23T08:42:37Z</cp:lastPrinted>
  <dcterms:created xsi:type="dcterms:W3CDTF">2019-04-16T15:15:10Z</dcterms:created>
  <dcterms:modified xsi:type="dcterms:W3CDTF">2019-07-01T15:01:00Z</dcterms:modified>
</cp:coreProperties>
</file>